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fed0f691edaa3cc/Documents/Curso de Credito/"/>
    </mc:Choice>
  </mc:AlternateContent>
  <xr:revisionPtr revIDLastSave="5" documentId="8_{181D09F0-88E5-491E-A039-20FB773610C0}" xr6:coauthVersionLast="47" xr6:coauthVersionMax="47" xr10:uidLastSave="{D43E27AF-1B38-4270-92A7-B69B86BC2E93}"/>
  <bookViews>
    <workbookView xWindow="-108" yWindow="-108" windowWidth="23256" windowHeight="12456" activeTab="2" xr2:uid="{5FC366DA-6E72-4D06-BEEF-6BC60ADB99CC}"/>
  </bookViews>
  <sheets>
    <sheet name="FCD Selic Média" sheetId="4" r:id="rId1"/>
    <sheet name="markham" sheetId="2" r:id="rId2"/>
    <sheet name="múltiplo" sheetId="3" r:id="rId3"/>
  </sheets>
  <externalReferences>
    <externalReference r:id="rId4"/>
    <externalReference r:id="rId5"/>
  </externalReferences>
  <definedNames>
    <definedName name="_xlnm._FilterDatabase" hidden="1">'[1]#REF'!$D$115:$G$117</definedName>
    <definedName name="_Key1" hidden="1">'[1]#REF'!$CY$8</definedName>
    <definedName name="_Key2" hidden="1">'[1]#REF'!$CZ$8</definedName>
    <definedName name="_Order1" hidden="1">0</definedName>
    <definedName name="_Order2" hidden="1">255</definedName>
    <definedName name="_Sort" hidden="1">'[1]#REF'!$CX$8:$CZ$34</definedName>
    <definedName name="beta_observed">#REF!</definedName>
    <definedName name="beta_observed_unlevered">#REF!</definedName>
    <definedName name="beta_unlev_comps">#REF!</definedName>
    <definedName name="costdebtfirm">#REF!</definedName>
    <definedName name="costequity">#REF!</definedName>
    <definedName name="Debt">#REF!</definedName>
    <definedName name="debt_weight">#REF!</definedName>
    <definedName name="dol">#REF!</definedName>
    <definedName name="Dolar">'[2]Entrada de Dados'!#REF!</definedName>
    <definedName name="Market_Equity">#REF!</definedName>
    <definedName name="midyear">#REF!</definedName>
    <definedName name="Moeda">#REF!</definedName>
    <definedName name="Net_Debt">#REF!</definedName>
    <definedName name="range">#REF!</definedName>
    <definedName name="relevered_beta">#REF!</definedName>
    <definedName name="risk_free_rate">#REF!</definedName>
    <definedName name="risk_premium">#REF!</definedName>
    <definedName name="Spread">#REF!</definedName>
    <definedName name="Spread1">#REF!</definedName>
    <definedName name="Spread2">#REF!</definedName>
    <definedName name="Spread3">#REF!</definedName>
    <definedName name="Spread4">#REF!</definedName>
    <definedName name="Spread5">#REF!</definedName>
    <definedName name="Spread6">#REF!</definedName>
    <definedName name="Stub_year_fraction">#REF!</definedName>
    <definedName name="totalcap">#REF!</definedName>
    <definedName name="Useful_Life_of_Depreciable_PP_E">"PPElife"</definedName>
    <definedName name="wacc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1" i="4" l="1"/>
  <c r="P34" i="4"/>
  <c r="Q11" i="4" l="1"/>
  <c r="Q13" i="4" s="1"/>
  <c r="Q15" i="4" s="1"/>
  <c r="Q18" i="4" s="1"/>
  <c r="Q20" i="4" s="1"/>
  <c r="R11" i="4"/>
  <c r="R13" i="4" s="1"/>
  <c r="R15" i="4" s="1"/>
  <c r="R18" i="4" s="1"/>
  <c r="R20" i="4" s="1"/>
  <c r="S11" i="4"/>
  <c r="S13" i="4" s="1"/>
  <c r="S15" i="4" s="1"/>
  <c r="S18" i="4" s="1"/>
  <c r="S20" i="4" s="1"/>
  <c r="T11" i="4"/>
  <c r="Q12" i="4"/>
  <c r="R12" i="4"/>
  <c r="S12" i="4"/>
  <c r="T12" i="4"/>
  <c r="T13" i="4"/>
  <c r="T15" i="4" s="1"/>
  <c r="T18" i="4" s="1"/>
  <c r="T20" i="4" s="1"/>
  <c r="Q14" i="4"/>
  <c r="R14" i="4"/>
  <c r="S14" i="4"/>
  <c r="T14" i="4"/>
  <c r="Q16" i="4"/>
  <c r="R16" i="4"/>
  <c r="S16" i="4"/>
  <c r="T16" i="4"/>
  <c r="Q19" i="4"/>
  <c r="R19" i="4"/>
  <c r="S19" i="4"/>
  <c r="T19" i="4"/>
  <c r="Q21" i="4"/>
  <c r="R21" i="4"/>
  <c r="S21" i="4"/>
  <c r="T21" i="4"/>
  <c r="Q22" i="4"/>
  <c r="R22" i="4"/>
  <c r="S22" i="4"/>
  <c r="T22" i="4"/>
  <c r="Q23" i="4"/>
  <c r="R23" i="4"/>
  <c r="S23" i="4"/>
  <c r="T23" i="4"/>
  <c r="G61" i="4"/>
  <c r="H61" i="4" s="1"/>
  <c r="I61" i="4" s="1"/>
  <c r="J61" i="4" s="1"/>
  <c r="F61" i="4"/>
  <c r="F60" i="4"/>
  <c r="G60" i="4" s="1"/>
  <c r="H60" i="4" s="1"/>
  <c r="I60" i="4" s="1"/>
  <c r="J60" i="4" s="1"/>
  <c r="F59" i="4"/>
  <c r="G59" i="4" s="1"/>
  <c r="H59" i="4" s="1"/>
  <c r="I59" i="4" s="1"/>
  <c r="J59" i="4" s="1"/>
  <c r="F58" i="4"/>
  <c r="G58" i="4" s="1"/>
  <c r="H58" i="4" s="1"/>
  <c r="I58" i="4" s="1"/>
  <c r="J58" i="4" s="1"/>
  <c r="F57" i="4"/>
  <c r="G57" i="4" s="1"/>
  <c r="H57" i="4" s="1"/>
  <c r="I57" i="4" s="1"/>
  <c r="J57" i="4" s="1"/>
  <c r="G55" i="4"/>
  <c r="H55" i="4" s="1"/>
  <c r="I55" i="4" s="1"/>
  <c r="J55" i="4" s="1"/>
  <c r="F55" i="4"/>
  <c r="F54" i="4"/>
  <c r="F53" i="4"/>
  <c r="G53" i="4" s="1"/>
  <c r="H53" i="4" s="1"/>
  <c r="I53" i="4" s="1"/>
  <c r="J53" i="4" s="1"/>
  <c r="P23" i="4"/>
  <c r="P22" i="4"/>
  <c r="P19" i="4"/>
  <c r="P16" i="4"/>
  <c r="P14" i="4"/>
  <c r="P12" i="4"/>
  <c r="P11" i="4"/>
  <c r="G39" i="4"/>
  <c r="H39" i="4" s="1"/>
  <c r="I39" i="4" s="1"/>
  <c r="J39" i="4" s="1"/>
  <c r="F39" i="4"/>
  <c r="F36" i="4"/>
  <c r="G36" i="4" s="1"/>
  <c r="H36" i="4" s="1"/>
  <c r="I36" i="4" s="1"/>
  <c r="J36" i="4" s="1"/>
  <c r="F35" i="4"/>
  <c r="G35" i="4" s="1"/>
  <c r="H35" i="4" s="1"/>
  <c r="I35" i="4" s="1"/>
  <c r="J35" i="4" s="1"/>
  <c r="F34" i="4"/>
  <c r="G34" i="4" s="1"/>
  <c r="H34" i="4" s="1"/>
  <c r="I34" i="4" s="1"/>
  <c r="J34" i="4" s="1"/>
  <c r="F24" i="4"/>
  <c r="G24" i="4"/>
  <c r="H24" i="4"/>
  <c r="I24" i="4" s="1"/>
  <c r="J24" i="4" s="1"/>
  <c r="F25" i="4"/>
  <c r="G25" i="4"/>
  <c r="H25" i="4"/>
  <c r="I25" i="4" s="1"/>
  <c r="J25" i="4" s="1"/>
  <c r="F26" i="4"/>
  <c r="G26" i="4"/>
  <c r="H26" i="4"/>
  <c r="I26" i="4"/>
  <c r="J26" i="4"/>
  <c r="F27" i="4"/>
  <c r="G27" i="4" s="1"/>
  <c r="H27" i="4" s="1"/>
  <c r="I27" i="4" s="1"/>
  <c r="J27" i="4" s="1"/>
  <c r="F28" i="4"/>
  <c r="G28" i="4"/>
  <c r="H28" i="4"/>
  <c r="I28" i="4"/>
  <c r="J28" i="4"/>
  <c r="F29" i="4"/>
  <c r="G29" i="4"/>
  <c r="H29" i="4" s="1"/>
  <c r="I29" i="4" s="1"/>
  <c r="J29" i="4" s="1"/>
  <c r="F30" i="4"/>
  <c r="G30" i="4" s="1"/>
  <c r="H30" i="4" s="1"/>
  <c r="I30" i="4" s="1"/>
  <c r="J30" i="4" s="1"/>
  <c r="F23" i="4"/>
  <c r="G23" i="4" s="1"/>
  <c r="H23" i="4" s="1"/>
  <c r="I23" i="4" s="1"/>
  <c r="J23" i="4" s="1"/>
  <c r="F46" i="4"/>
  <c r="G46" i="4" s="1"/>
  <c r="H46" i="4" s="1"/>
  <c r="I46" i="4" s="1"/>
  <c r="J46" i="4" s="1"/>
  <c r="F43" i="4"/>
  <c r="G43" i="4" s="1"/>
  <c r="F40" i="4"/>
  <c r="G40" i="4" s="1"/>
  <c r="H40" i="4" s="1"/>
  <c r="I40" i="4" s="1"/>
  <c r="J40" i="4" s="1"/>
  <c r="G11" i="4"/>
  <c r="H11" i="4" s="1"/>
  <c r="I11" i="4" s="1"/>
  <c r="J11" i="4" s="1"/>
  <c r="F11" i="4"/>
  <c r="F12" i="4"/>
  <c r="G12" i="4" s="1"/>
  <c r="H12" i="4" s="1"/>
  <c r="I12" i="4" s="1"/>
  <c r="J12" i="4" s="1"/>
  <c r="F13" i="4"/>
  <c r="G13" i="4" s="1"/>
  <c r="H13" i="4" s="1"/>
  <c r="I13" i="4" s="1"/>
  <c r="J13" i="4" s="1"/>
  <c r="F14" i="4"/>
  <c r="G14" i="4" s="1"/>
  <c r="H14" i="4" s="1"/>
  <c r="I14" i="4" s="1"/>
  <c r="J14" i="4" s="1"/>
  <c r="F15" i="4"/>
  <c r="G15" i="4" s="1"/>
  <c r="H15" i="4" s="1"/>
  <c r="F16" i="4"/>
  <c r="G16" i="4" s="1"/>
  <c r="H16" i="4" s="1"/>
  <c r="I16" i="4" s="1"/>
  <c r="J16" i="4" s="1"/>
  <c r="F17" i="4"/>
  <c r="G17" i="4" s="1"/>
  <c r="H17" i="4" s="1"/>
  <c r="I17" i="4" s="1"/>
  <c r="J17" i="4" s="1"/>
  <c r="F18" i="4"/>
  <c r="G18" i="4" s="1"/>
  <c r="H18" i="4" s="1"/>
  <c r="I18" i="4" s="1"/>
  <c r="J18" i="4" s="1"/>
  <c r="F10" i="4"/>
  <c r="E9" i="4"/>
  <c r="D9" i="4"/>
  <c r="E31" i="4"/>
  <c r="D31" i="4"/>
  <c r="E21" i="4"/>
  <c r="D21" i="4"/>
  <c r="G54" i="4" l="1"/>
  <c r="H54" i="4" s="1"/>
  <c r="I54" i="4" s="1"/>
  <c r="J54" i="4" s="1"/>
  <c r="P21" i="4"/>
  <c r="F31" i="4"/>
  <c r="P13" i="4"/>
  <c r="H43" i="4"/>
  <c r="H31" i="4"/>
  <c r="G31" i="4"/>
  <c r="J31" i="4"/>
  <c r="I15" i="4"/>
  <c r="J15" i="4" s="1"/>
  <c r="G10" i="4"/>
  <c r="F9" i="4"/>
  <c r="F20" i="4" s="1"/>
  <c r="D32" i="4"/>
  <c r="D37" i="4" s="1"/>
  <c r="D41" i="4" s="1"/>
  <c r="D45" i="4" s="1"/>
  <c r="D48" i="4" s="1"/>
  <c r="E32" i="4"/>
  <c r="E37" i="4" s="1"/>
  <c r="E41" i="4" s="1"/>
  <c r="E45" i="4" s="1"/>
  <c r="E48" i="4" s="1"/>
  <c r="P15" i="4"/>
  <c r="G20" i="4" l="1"/>
  <c r="F21" i="4"/>
  <c r="I31" i="4"/>
  <c r="I43" i="4"/>
  <c r="J43" i="4" s="1"/>
  <c r="H10" i="4"/>
  <c r="G9" i="4"/>
  <c r="G21" i="4" l="1"/>
  <c r="F32" i="4"/>
  <c r="F37" i="4" s="1"/>
  <c r="F41" i="4" s="1"/>
  <c r="F45" i="4" s="1"/>
  <c r="F48" i="4" s="1"/>
  <c r="I10" i="4"/>
  <c r="H9" i="4"/>
  <c r="H20" i="4" s="1"/>
  <c r="G32" i="4"/>
  <c r="G37" i="4" s="1"/>
  <c r="G41" i="4" s="1"/>
  <c r="G45" i="4" s="1"/>
  <c r="G48" i="4" s="1"/>
  <c r="H21" i="4" l="1"/>
  <c r="H32" i="4"/>
  <c r="H37" i="4" s="1"/>
  <c r="H41" i="4" s="1"/>
  <c r="H45" i="4" s="1"/>
  <c r="H48" i="4" s="1"/>
  <c r="I9" i="4"/>
  <c r="I20" i="4" s="1"/>
  <c r="J10" i="4"/>
  <c r="I21" i="4" l="1"/>
  <c r="I32" i="4" s="1"/>
  <c r="I37" i="4" s="1"/>
  <c r="I41" i="4" s="1"/>
  <c r="I45" i="4" s="1"/>
  <c r="I48" i="4" s="1"/>
  <c r="J9" i="4"/>
  <c r="J20" i="4" s="1"/>
  <c r="J21" i="4" s="1"/>
  <c r="J32" i="4" s="1"/>
  <c r="J37" i="4" s="1"/>
  <c r="J41" i="4" s="1"/>
  <c r="J45" i="4" s="1"/>
  <c r="J48" i="4" s="1"/>
  <c r="Q39" i="4" l="1"/>
  <c r="Q36" i="4" s="1"/>
  <c r="P39" i="4"/>
  <c r="P52" i="4"/>
  <c r="R24" i="4" l="1"/>
  <c r="R26" i="4" s="1"/>
  <c r="T24" i="4"/>
  <c r="P18" i="4"/>
  <c r="P20" i="4" s="1"/>
  <c r="P24" i="4" s="1"/>
  <c r="P26" i="4" s="1"/>
  <c r="Q24" i="4"/>
  <c r="Q26" i="4" s="1"/>
  <c r="S24" i="4"/>
  <c r="S26" i="4" s="1"/>
  <c r="Q37" i="4"/>
  <c r="Q33" i="4" s="1"/>
  <c r="P33" i="4" s="1"/>
  <c r="P43" i="4" l="1"/>
  <c r="T25" i="4" s="1"/>
  <c r="T26" i="4" s="1"/>
  <c r="P27" i="4"/>
  <c r="P51" i="4" s="1"/>
  <c r="P53" i="4" s="1"/>
  <c r="O30" i="4" l="1"/>
  <c r="X56" i="3" l="1"/>
  <c r="X57" i="3"/>
  <c r="X58" i="3"/>
  <c r="X59" i="3"/>
  <c r="X55" i="3"/>
  <c r="W56" i="3"/>
  <c r="W55" i="3"/>
  <c r="Y55" i="3" s="1"/>
  <c r="G33" i="3"/>
  <c r="J25" i="3"/>
  <c r="F25" i="3"/>
  <c r="E33" i="3" s="1"/>
  <c r="G25" i="3"/>
  <c r="E25" i="3"/>
  <c r="H26" i="2"/>
  <c r="G26" i="2"/>
  <c r="F26" i="2"/>
  <c r="E26" i="2"/>
  <c r="J23" i="2"/>
  <c r="I23" i="2"/>
  <c r="J22" i="2"/>
  <c r="I22" i="2"/>
  <c r="J21" i="2"/>
  <c r="I21" i="2"/>
  <c r="J20" i="2"/>
  <c r="I20" i="2"/>
  <c r="J19" i="2"/>
  <c r="I19" i="2"/>
  <c r="Y56" i="3" l="1"/>
  <c r="I25" i="3"/>
  <c r="F33" i="3"/>
  <c r="I33" i="3" s="1"/>
  <c r="I26" i="2"/>
  <c r="J26" i="2"/>
  <c r="H33" i="3" l="1"/>
  <c r="L8" i="2"/>
  <c r="K8" i="2"/>
  <c r="K6" i="2"/>
  <c r="L6" i="2"/>
  <c r="K7" i="2"/>
  <c r="L7" i="2"/>
  <c r="K9" i="2"/>
  <c r="L9" i="2"/>
  <c r="L5" i="2"/>
  <c r="K5" i="2"/>
  <c r="E26" i="3"/>
  <c r="A16" i="3"/>
  <c r="A12" i="3"/>
  <c r="A8" i="3"/>
  <c r="E27" i="3" l="1"/>
  <c r="F27" i="3" l="1"/>
  <c r="E35" i="3" s="1"/>
  <c r="H26" i="3"/>
  <c r="G34" i="3" s="1"/>
  <c r="F26" i="3"/>
  <c r="E34" i="3" s="1"/>
  <c r="I26" i="3"/>
  <c r="J26" i="3"/>
  <c r="I34" i="3"/>
  <c r="H34" i="3"/>
  <c r="W57" i="3" s="1"/>
  <c r="Y57" i="3" s="1"/>
  <c r="I35" i="3"/>
  <c r="J27" i="3" l="1"/>
  <c r="I27" i="3"/>
  <c r="H27" i="3"/>
  <c r="G35" i="3" s="1"/>
  <c r="H35" i="3"/>
  <c r="W58" i="3" s="1"/>
  <c r="Y58" i="3" s="1"/>
  <c r="E28" i="3"/>
  <c r="H28" i="3" l="1"/>
  <c r="G36" i="3" s="1"/>
  <c r="F28" i="3"/>
  <c r="E36" i="3" s="1"/>
  <c r="I28" i="3"/>
  <c r="J28" i="3"/>
  <c r="I36" i="3"/>
  <c r="H36" i="3"/>
  <c r="W59" i="3" s="1"/>
  <c r="Y59" i="3" s="1"/>
  <c r="J6" i="2" l="1"/>
  <c r="J7" i="2"/>
  <c r="J8" i="2"/>
  <c r="J9" i="2"/>
  <c r="J5" i="2"/>
  <c r="J12" i="2" s="1"/>
  <c r="K12" i="2"/>
  <c r="I6" i="2"/>
  <c r="I7" i="2"/>
  <c r="I8" i="2"/>
  <c r="I9" i="2"/>
  <c r="I5" i="2"/>
  <c r="G27" i="3" l="1"/>
  <c r="F35" i="3" s="1"/>
  <c r="G26" i="3"/>
  <c r="F34" i="3" s="1"/>
  <c r="G28" i="3"/>
  <c r="F36" i="3" s="1"/>
  <c r="L12" i="2"/>
  <c r="F12" i="2" l="1"/>
  <c r="G12" i="2"/>
  <c r="H12" i="2"/>
  <c r="I12" i="2"/>
  <c r="E1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tc={AF82BA50-D808-4FBC-8689-CB4ED77F8774}</author>
    <author>tc={6160C64C-917B-479C-93BB-78347A2F7144}</author>
  </authors>
  <commentList>
    <comment ref="B39" authorId="0" shapeId="0" xr:uid="{AF82BA50-D808-4FBC-8689-CB4ED77F8774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O correto é fazer uma projeção da dívida, de forma a calcular o custos financeiro a partir dela, incluindo não apenas a Selic, mas também o spread bancário e a variação cambial, quando necessário. O exercício aqui é meramente informativo, e para este fim estou apenas corrigindo o valor.</t>
      </text>
    </comment>
    <comment ref="B51" authorId="1" shapeId="0" xr:uid="{6160C64C-917B-479C-93BB-78347A2F7144}">
      <text>
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Novamente estamos fazendo uma simplificação do processo, pois o correto é projetarmos o comportamento de todas as linhas de ativo e passivo para chegarmos ao efeito de variação do capital de giro. Os elementos mais importantes aqui estão associados á venda e compra de atletas, uma vez que os pagamentos e recebimentos são parcelados e impactos as Contas a Receber e Contas a Pagar a Clubes. Movimentações salariais também são importantes à medida em que o valor da folha salarial aumenta ou diminui.
</t>
      </text>
    </comment>
  </commentList>
</comments>
</file>

<file path=xl/sharedStrings.xml><?xml version="1.0" encoding="utf-8"?>
<sst xmlns="http://schemas.openxmlformats.org/spreadsheetml/2006/main" count="159" uniqueCount="132">
  <si>
    <t>Receitas</t>
  </si>
  <si>
    <t>Ativos Líquidos</t>
  </si>
  <si>
    <t>Superávit</t>
  </si>
  <si>
    <t>Taxa Ocupação Estádio</t>
  </si>
  <si>
    <t>Salários</t>
  </si>
  <si>
    <t>Valuation</t>
  </si>
  <si>
    <t>Média</t>
  </si>
  <si>
    <t>Mediana</t>
  </si>
  <si>
    <t>Despesas Financeiras Caixa</t>
  </si>
  <si>
    <t>Receitas Financeiras Caixa</t>
  </si>
  <si>
    <t>Perpetuidade</t>
  </si>
  <si>
    <t>MÚLTIPLOS</t>
  </si>
  <si>
    <t>Tier 1</t>
  </si>
  <si>
    <t>Tier 2</t>
  </si>
  <si>
    <t>Tier 3</t>
  </si>
  <si>
    <t>Tier 4</t>
  </si>
  <si>
    <t>Mín</t>
  </si>
  <si>
    <t>Max</t>
  </si>
  <si>
    <t>Receita</t>
  </si>
  <si>
    <t>RECEITAS</t>
  </si>
  <si>
    <t>R$ milhões</t>
  </si>
  <si>
    <t>R$ mil</t>
  </si>
  <si>
    <t>Selic</t>
  </si>
  <si>
    <t>-</t>
  </si>
  <si>
    <t>Média 17/20</t>
  </si>
  <si>
    <t>Mediana 17/20</t>
  </si>
  <si>
    <t>Mínimo</t>
  </si>
  <si>
    <t>Médio</t>
  </si>
  <si>
    <t>Máximo</t>
  </si>
  <si>
    <t>Intervalo A</t>
  </si>
  <si>
    <t>Intervalo B</t>
  </si>
  <si>
    <t>Intervalo C</t>
  </si>
  <si>
    <t>4 ANOS</t>
  </si>
  <si>
    <t>3 ANOS</t>
  </si>
  <si>
    <t>Múltiplos</t>
  </si>
  <si>
    <t>FCD</t>
  </si>
  <si>
    <t>Markham</t>
  </si>
  <si>
    <t>Múltiplos Min</t>
  </si>
  <si>
    <t>Múltiplos Med</t>
  </si>
  <si>
    <t>Múltiplos Max</t>
  </si>
  <si>
    <t>Valor da Firma</t>
  </si>
  <si>
    <t>Dívida</t>
  </si>
  <si>
    <t>Valor do Equity</t>
  </si>
  <si>
    <t>(-) Deduções</t>
  </si>
  <si>
    <t>Receitas Líquidas</t>
  </si>
  <si>
    <t>(-) Custos Operacionais (ex-Amortização e Depreciação)</t>
  </si>
  <si>
    <t>= Lucro Bruto</t>
  </si>
  <si>
    <t>(-) Despesas Operacionais</t>
  </si>
  <si>
    <t>= Lucro Operacional (EBITDA)</t>
  </si>
  <si>
    <t>(+/-) Outras Receitas e Despesas</t>
  </si>
  <si>
    <t>= Fluxo de Caixa das Operações</t>
  </si>
  <si>
    <t>Variação de Capital de Giro</t>
  </si>
  <si>
    <t xml:space="preserve">CapEx </t>
  </si>
  <si>
    <t>Investimentos em Atletas</t>
  </si>
  <si>
    <t>= Fluxo de Caxa Livre para o Acionista</t>
  </si>
  <si>
    <t>Valor dos Fluxos de Caixa</t>
  </si>
  <si>
    <t>Valor Presente dos Fluxos de Caixa</t>
  </si>
  <si>
    <t>WACC</t>
  </si>
  <si>
    <r>
      <t xml:space="preserve">Custo de Capital de Terceitos </t>
    </r>
    <r>
      <rPr>
        <sz val="8"/>
        <rFont val="Raleway"/>
      </rPr>
      <t>(Selic média 5 anos Projetada)</t>
    </r>
  </si>
  <si>
    <t>Ke</t>
  </si>
  <si>
    <t>Taxa do Custo de Capital Próprio</t>
  </si>
  <si>
    <t>E</t>
  </si>
  <si>
    <t>Patrimônio Líquido</t>
  </si>
  <si>
    <t>Kd</t>
  </si>
  <si>
    <t>Taxa do Custo de Capital de Terceiros</t>
  </si>
  <si>
    <t>D</t>
  </si>
  <si>
    <t>Dívida (bancos/Impostos Parcelados/Clubes)</t>
  </si>
  <si>
    <t>txJ</t>
  </si>
  <si>
    <t>Taxa de Juros de Empréstimos</t>
  </si>
  <si>
    <t>IR + CSLL</t>
  </si>
  <si>
    <t>Alíquota de IR e CSSL</t>
  </si>
  <si>
    <t>PERPT</t>
  </si>
  <si>
    <t>g</t>
  </si>
  <si>
    <t>Taxa de Crescimento</t>
  </si>
  <si>
    <t xml:space="preserve">(IPCA médio 5 anos projeção (4,27%) </t>
  </si>
  <si>
    <t>Enterprise Value</t>
  </si>
  <si>
    <t>Equity Value</t>
  </si>
  <si>
    <t xml:space="preserve">Receitas Brutas </t>
  </si>
  <si>
    <t>VENDA BRUTAS</t>
  </si>
  <si>
    <t>Direitos de Transmissão de TV</t>
  </si>
  <si>
    <t>Patrocínio / Publicidade / Marketing / Royalties</t>
  </si>
  <si>
    <t>Bilheteria</t>
  </si>
  <si>
    <t>Sócio Torcedor</t>
  </si>
  <si>
    <t>Receitas com Clube Social</t>
  </si>
  <si>
    <t>Receitas Patrimonias</t>
  </si>
  <si>
    <t>Outras Receitas</t>
  </si>
  <si>
    <t>( - ) Deduções</t>
  </si>
  <si>
    <t>VENDAS LÍQUIDAS</t>
  </si>
  <si>
    <t>Custos com Pessoal e Direitos de Imagem</t>
  </si>
  <si>
    <t>Custos com Jogos e Competições</t>
  </si>
  <si>
    <t>Comissão com Venda de Atletas</t>
  </si>
  <si>
    <t>Custos com Formação de Atleta de Base</t>
  </si>
  <si>
    <t>Custos com Futebol Feminino</t>
  </si>
  <si>
    <t>Outros Custos</t>
  </si>
  <si>
    <t>Depreciação</t>
  </si>
  <si>
    <t>Amortização</t>
  </si>
  <si>
    <t>LUCRO BRUTO</t>
  </si>
  <si>
    <t>Despesas Administrativas</t>
  </si>
  <si>
    <t>Despesas de Vendas</t>
  </si>
  <si>
    <t>Outras Desp / Rec Operacionais</t>
  </si>
  <si>
    <t>RESULTADO OPERACIONAL</t>
  </si>
  <si>
    <t>RES. APÓS REC/DESP FINANCEIRAS</t>
  </si>
  <si>
    <t>Result.Não-Operacional Caixa</t>
  </si>
  <si>
    <t>RES. ANTES IMPOSTO RENDA</t>
  </si>
  <si>
    <t>Provisão I Renda / C Social</t>
  </si>
  <si>
    <t>RESULTADO LÍQUIDO</t>
  </si>
  <si>
    <t>Repasse de Direitos de Atletas / Solidariedade</t>
  </si>
  <si>
    <t>CUSTO OPERACIONAL</t>
  </si>
  <si>
    <t>Contas a Receber</t>
  </si>
  <si>
    <t>Estoques</t>
  </si>
  <si>
    <t>Outros Ativos</t>
  </si>
  <si>
    <t>Fornecedores</t>
  </si>
  <si>
    <t>Contas a Pagar a Clubes</t>
  </si>
  <si>
    <t>Salários e Encargos</t>
  </si>
  <si>
    <t>Direitos de Imagem</t>
  </si>
  <si>
    <t>Outros Passivos</t>
  </si>
  <si>
    <t>Capex</t>
  </si>
  <si>
    <t>Aquisição de Atletas</t>
  </si>
  <si>
    <t>Infraestrutura</t>
  </si>
  <si>
    <t>IPCA</t>
  </si>
  <si>
    <t>Crescimento das receitas</t>
  </si>
  <si>
    <t>Movimentação dos Custos</t>
  </si>
  <si>
    <t>Fluxo de Caixa projetado para o FC SAF</t>
  </si>
  <si>
    <t>HISTÓRICO</t>
  </si>
  <si>
    <t>PROJEÇÃO</t>
  </si>
  <si>
    <t>(Podem usar a taxa de Entretenimento de Damodaran)</t>
  </si>
  <si>
    <t>VALUATION DO ATIVO</t>
  </si>
  <si>
    <t>(WACC é calculado automaticamente a partir dos dados baixo)</t>
  </si>
  <si>
    <t>(quanto se espera que o ativo cresce enquanto existir)</t>
  </si>
  <si>
    <t>Modelo de Markham para o FC SAF</t>
  </si>
  <si>
    <t>Modelo de Markham para o FC SAF com Ativos Líquidos Ajustados</t>
  </si>
  <si>
    <t>OBS: Podem preencher todas as células em branco nas tabelas.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</si>
</sst>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6" formatCode="#,##0;[Red]\(#,##0\)"/>
    <numFmt numFmtId="167" formatCode="0.0%"/>
    <numFmt numFmtId="168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ourier"/>
    </font>
    <font>
      <b/>
      <sz val="10"/>
      <name val="Raleway"/>
    </font>
    <font>
      <sz val="10"/>
      <name val="Raleway"/>
    </font>
    <font>
      <sz val="8"/>
      <name val="Raleway"/>
    </font>
    <font>
      <sz val="10"/>
      <name val="Raleway ExtraBold"/>
    </font>
    <font>
      <sz val="9"/>
      <name val="Raleway"/>
    </font>
    <font>
      <sz val="9"/>
      <name val="Raleway ExtraBold"/>
    </font>
    <font>
      <sz val="9"/>
      <color indexed="81"/>
      <name val="Segoe UI"/>
      <family val="2"/>
    </font>
    <font>
      <sz val="9"/>
      <color theme="0"/>
      <name val="Raleway ExtraBold"/>
    </font>
  </fonts>
  <fills count="1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hair">
        <color auto="1"/>
      </bottom>
      <diagonal/>
    </border>
    <border>
      <left style="thick">
        <color rgb="FFFF0000"/>
      </left>
      <right style="thick">
        <color rgb="FFFF0000"/>
      </right>
      <top style="hair">
        <color auto="1"/>
      </top>
      <bottom style="hair">
        <color auto="1"/>
      </bottom>
      <diagonal/>
    </border>
    <border>
      <left style="thick">
        <color rgb="FFFF0000"/>
      </left>
      <right style="thick">
        <color rgb="FFFF0000"/>
      </right>
      <top style="hair">
        <color auto="1"/>
      </top>
      <bottom style="thick">
        <color rgb="FFFF0000"/>
      </bottom>
      <diagonal/>
    </border>
    <border>
      <left style="thick">
        <color rgb="FFFF0000"/>
      </left>
      <right style="hair">
        <color auto="1"/>
      </right>
      <top style="thick">
        <color rgb="FFFF0000"/>
      </top>
      <bottom style="hair">
        <color auto="1"/>
      </bottom>
      <diagonal/>
    </border>
    <border>
      <left style="hair">
        <color auto="1"/>
      </left>
      <right style="thick">
        <color rgb="FFFF0000"/>
      </right>
      <top style="thick">
        <color rgb="FFFF0000"/>
      </top>
      <bottom style="hair">
        <color auto="1"/>
      </bottom>
      <diagonal/>
    </border>
    <border>
      <left style="thick">
        <color rgb="FFFF0000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rgb="FFFF0000"/>
      </right>
      <top style="hair">
        <color auto="1"/>
      </top>
      <bottom style="hair">
        <color auto="1"/>
      </bottom>
      <diagonal/>
    </border>
    <border>
      <left style="thick">
        <color rgb="FFFF0000"/>
      </left>
      <right style="hair">
        <color auto="1"/>
      </right>
      <top style="hair">
        <color auto="1"/>
      </top>
      <bottom style="thick">
        <color rgb="FFFF0000"/>
      </bottom>
      <diagonal/>
    </border>
    <border>
      <left style="hair">
        <color auto="1"/>
      </left>
      <right style="thick">
        <color rgb="FFFF0000"/>
      </right>
      <top style="hair">
        <color auto="1"/>
      </top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hair">
        <color auto="1"/>
      </bottom>
      <diagonal/>
    </border>
    <border>
      <left/>
      <right style="thick">
        <color rgb="FFFF0000"/>
      </right>
      <top style="hair">
        <color auto="1"/>
      </top>
      <bottom style="hair">
        <color auto="1"/>
      </bottom>
      <diagonal/>
    </border>
    <border>
      <left/>
      <right style="thick">
        <color rgb="FFFF0000"/>
      </right>
      <top style="hair">
        <color auto="1"/>
      </top>
      <bottom style="thick">
        <color rgb="FFFF0000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rgb="FFFF0000"/>
      </top>
      <bottom style="thick">
        <color rgb="FFFF0000"/>
      </bottom>
      <diagonal/>
    </border>
    <border>
      <left style="hair">
        <color auto="1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 style="hair">
        <color auto="1"/>
      </top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hair">
        <color auto="1"/>
      </right>
      <top style="thick">
        <color rgb="FFFF0000"/>
      </top>
      <bottom style="thick">
        <color rgb="FFFF0000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hair">
        <color auto="1"/>
      </bottom>
      <diagonal/>
    </border>
    <border>
      <left style="thick">
        <color rgb="FF0070C0"/>
      </left>
      <right style="thick">
        <color rgb="FF0070C0"/>
      </right>
      <top style="hair">
        <color auto="1"/>
      </top>
      <bottom style="hair">
        <color auto="1"/>
      </bottom>
      <diagonal/>
    </border>
    <border>
      <left style="thick">
        <color rgb="FF0070C0"/>
      </left>
      <right style="thick">
        <color rgb="FF0070C0"/>
      </right>
      <top style="hair">
        <color auto="1"/>
      </top>
      <bottom style="thick">
        <color rgb="FF0070C0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7" fontId="9" fillId="0" borderId="0"/>
    <xf numFmtId="9" fontId="4" fillId="0" borderId="0" applyFont="0" applyFill="0" applyBorder="0" applyAlignment="0" applyProtection="0"/>
  </cellStyleXfs>
  <cellXfs count="129">
    <xf numFmtId="0" fontId="0" fillId="0" borderId="0" xfId="0"/>
    <xf numFmtId="9" fontId="0" fillId="0" borderId="0" xfId="1" applyFont="1"/>
    <xf numFmtId="164" fontId="0" fillId="0" borderId="0" xfId="0" applyNumberFormat="1"/>
    <xf numFmtId="164" fontId="2" fillId="2" borderId="0" xfId="0" applyNumberFormat="1" applyFont="1" applyFill="1"/>
    <xf numFmtId="166" fontId="0" fillId="0" borderId="0" xfId="0" applyNumberFormat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/>
    </xf>
    <xf numFmtId="168" fontId="2" fillId="3" borderId="1" xfId="0" applyNumberFormat="1" applyFont="1" applyFill="1" applyBorder="1"/>
    <xf numFmtId="4" fontId="2" fillId="0" borderId="1" xfId="0" applyNumberFormat="1" applyFont="1" applyBorder="1" applyAlignment="1">
      <alignment horizontal="center" vertical="center"/>
    </xf>
    <xf numFmtId="168" fontId="2" fillId="2" borderId="1" xfId="0" applyNumberFormat="1" applyFont="1" applyFill="1" applyBorder="1"/>
    <xf numFmtId="168" fontId="2" fillId="5" borderId="1" xfId="0" applyNumberFormat="1" applyFont="1" applyFill="1" applyBorder="1"/>
    <xf numFmtId="168" fontId="2" fillId="8" borderId="1" xfId="0" applyNumberFormat="1" applyFont="1" applyFill="1" applyBorder="1"/>
    <xf numFmtId="0" fontId="2" fillId="9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/>
    <xf numFmtId="166" fontId="0" fillId="0" borderId="1" xfId="0" applyNumberFormat="1" applyBorder="1"/>
    <xf numFmtId="9" fontId="0" fillId="0" borderId="1" xfId="1" applyFont="1" applyFill="1" applyBorder="1"/>
    <xf numFmtId="0" fontId="5" fillId="7" borderId="1" xfId="0" applyFont="1" applyFill="1" applyBorder="1" applyAlignment="1">
      <alignment horizontal="center" vertical="center" wrapText="1"/>
    </xf>
    <xf numFmtId="166" fontId="5" fillId="7" borderId="1" xfId="0" applyNumberFormat="1" applyFont="1" applyFill="1" applyBorder="1"/>
    <xf numFmtId="166" fontId="2" fillId="11" borderId="1" xfId="0" applyNumberFormat="1" applyFont="1" applyFill="1" applyBorder="1"/>
    <xf numFmtId="9" fontId="2" fillId="11" borderId="1" xfId="1" applyFont="1" applyFill="1" applyBorder="1"/>
    <xf numFmtId="0" fontId="0" fillId="0" borderId="4" xfId="0" applyBorder="1" applyAlignment="1">
      <alignment horizontal="center" vertical="center" wrapText="1"/>
    </xf>
    <xf numFmtId="166" fontId="0" fillId="0" borderId="4" xfId="0" applyNumberFormat="1" applyBorder="1"/>
    <xf numFmtId="9" fontId="0" fillId="0" borderId="4" xfId="1" applyFont="1" applyFill="1" applyBorder="1"/>
    <xf numFmtId="0" fontId="0" fillId="0" borderId="6" xfId="0" applyBorder="1" applyAlignment="1">
      <alignment horizontal="center" vertical="center" wrapText="1"/>
    </xf>
    <xf numFmtId="166" fontId="0" fillId="0" borderId="6" xfId="0" applyNumberFormat="1" applyBorder="1"/>
    <xf numFmtId="9" fontId="0" fillId="0" borderId="6" xfId="1" applyFont="1" applyFill="1" applyBorder="1"/>
    <xf numFmtId="0" fontId="0" fillId="0" borderId="8" xfId="0" applyBorder="1" applyAlignment="1">
      <alignment horizontal="center" vertical="center" wrapText="1"/>
    </xf>
    <xf numFmtId="166" fontId="0" fillId="0" borderId="9" xfId="0" applyNumberFormat="1" applyBorder="1"/>
    <xf numFmtId="9" fontId="0" fillId="0" borderId="9" xfId="1" applyFont="1" applyFill="1" applyBorder="1"/>
    <xf numFmtId="166" fontId="0" fillId="0" borderId="10" xfId="0" applyNumberFormat="1" applyBorder="1"/>
    <xf numFmtId="166" fontId="0" fillId="0" borderId="7" xfId="0" applyNumberFormat="1" applyBorder="1"/>
    <xf numFmtId="0" fontId="2" fillId="5" borderId="8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12" borderId="1" xfId="0" applyFill="1" applyBorder="1"/>
    <xf numFmtId="166" fontId="0" fillId="12" borderId="1" xfId="0" applyNumberFormat="1" applyFill="1" applyBorder="1"/>
    <xf numFmtId="166" fontId="0" fillId="12" borderId="4" xfId="0" applyNumberFormat="1" applyFill="1" applyBorder="1"/>
    <xf numFmtId="166" fontId="0" fillId="12" borderId="9" xfId="0" applyNumberFormat="1" applyFill="1" applyBorder="1"/>
    <xf numFmtId="166" fontId="0" fillId="12" borderId="6" xfId="0" applyNumberFormat="1" applyFill="1" applyBorder="1"/>
    <xf numFmtId="166" fontId="2" fillId="12" borderId="1" xfId="0" applyNumberFormat="1" applyFont="1" applyFill="1" applyBorder="1"/>
    <xf numFmtId="0" fontId="0" fillId="10" borderId="1" xfId="0" applyFill="1" applyBorder="1" applyAlignment="1">
      <alignment horizontal="center"/>
    </xf>
    <xf numFmtId="166" fontId="0" fillId="10" borderId="1" xfId="0" applyNumberFormat="1" applyFill="1" applyBorder="1"/>
    <xf numFmtId="166" fontId="0" fillId="10" borderId="4" xfId="0" applyNumberFormat="1" applyFill="1" applyBorder="1"/>
    <xf numFmtId="166" fontId="0" fillId="10" borderId="13" xfId="0" applyNumberFormat="1" applyFill="1" applyBorder="1"/>
    <xf numFmtId="166" fontId="0" fillId="10" borderId="14" xfId="0" applyNumberFormat="1" applyFill="1" applyBorder="1"/>
    <xf numFmtId="0" fontId="5" fillId="7" borderId="11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166" fontId="2" fillId="0" borderId="13" xfId="0" applyNumberFormat="1" applyFont="1" applyBorder="1"/>
    <xf numFmtId="166" fontId="2" fillId="0" borderId="14" xfId="0" applyNumberFormat="1" applyFont="1" applyBorder="1"/>
    <xf numFmtId="166" fontId="2" fillId="0" borderId="15" xfId="0" applyNumberFormat="1" applyFont="1" applyBorder="1"/>
    <xf numFmtId="166" fontId="2" fillId="0" borderId="16" xfId="0" applyNumberFormat="1" applyFont="1" applyBorder="1"/>
    <xf numFmtId="0" fontId="5" fillId="7" borderId="18" xfId="0" applyFont="1" applyFill="1" applyBorder="1" applyAlignment="1">
      <alignment horizontal="center"/>
    </xf>
    <xf numFmtId="166" fontId="0" fillId="10" borderId="19" xfId="0" applyNumberFormat="1" applyFill="1" applyBorder="1"/>
    <xf numFmtId="166" fontId="2" fillId="0" borderId="19" xfId="0" applyNumberFormat="1" applyFont="1" applyBorder="1"/>
    <xf numFmtId="166" fontId="2" fillId="0" borderId="20" xfId="0" applyNumberFormat="1" applyFont="1" applyBorder="1"/>
    <xf numFmtId="0" fontId="0" fillId="11" borderId="1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168" fontId="2" fillId="5" borderId="3" xfId="0" applyNumberFormat="1" applyFont="1" applyFill="1" applyBorder="1"/>
    <xf numFmtId="168" fontId="2" fillId="8" borderId="21" xfId="0" applyNumberFormat="1" applyFont="1" applyFill="1" applyBorder="1"/>
    <xf numFmtId="4" fontId="2" fillId="11" borderId="22" xfId="0" applyNumberFormat="1" applyFont="1" applyFill="1" applyBorder="1" applyAlignment="1">
      <alignment horizontal="center" vertical="center"/>
    </xf>
    <xf numFmtId="4" fontId="2" fillId="11" borderId="23" xfId="0" applyNumberFormat="1" applyFont="1" applyFill="1" applyBorder="1" applyAlignment="1">
      <alignment horizontal="center" vertical="center"/>
    </xf>
    <xf numFmtId="0" fontId="8" fillId="0" borderId="24" xfId="0" applyFont="1" applyBorder="1" applyAlignment="1">
      <alignment horizontal="left" vertical="top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 vertical="center" wrapText="1"/>
    </xf>
    <xf numFmtId="166" fontId="0" fillId="0" borderId="5" xfId="0" applyNumberFormat="1" applyBorder="1"/>
    <xf numFmtId="0" fontId="0" fillId="0" borderId="27" xfId="0" applyBorder="1" applyAlignment="1">
      <alignment horizontal="center" vertical="center" wrapText="1"/>
    </xf>
    <xf numFmtId="166" fontId="0" fillId="0" borderId="28" xfId="0" applyNumberFormat="1" applyBorder="1"/>
    <xf numFmtId="166" fontId="0" fillId="0" borderId="29" xfId="0" applyNumberFormat="1" applyBorder="1"/>
    <xf numFmtId="0" fontId="8" fillId="0" borderId="0" xfId="0" applyFont="1" applyAlignment="1">
      <alignment vertical="top"/>
    </xf>
    <xf numFmtId="0" fontId="7" fillId="0" borderId="0" xfId="0" applyFont="1"/>
    <xf numFmtId="0" fontId="2" fillId="0" borderId="17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textRotation="90"/>
    </xf>
    <xf numFmtId="0" fontId="2" fillId="0" borderId="21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2" fillId="10" borderId="4" xfId="0" applyFont="1" applyFill="1" applyBorder="1" applyAlignment="1">
      <alignment horizontal="center"/>
    </xf>
    <xf numFmtId="0" fontId="2" fillId="10" borderId="6" xfId="0" applyFont="1" applyFill="1" applyBorder="1" applyAlignment="1">
      <alignment horizontal="center"/>
    </xf>
    <xf numFmtId="0" fontId="2" fillId="11" borderId="25" xfId="0" applyFont="1" applyFill="1" applyBorder="1" applyAlignment="1">
      <alignment horizontal="center"/>
    </xf>
    <xf numFmtId="0" fontId="2" fillId="11" borderId="26" xfId="0" applyFont="1" applyFill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0" fontId="2" fillId="9" borderId="4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4" fontId="2" fillId="0" borderId="21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37" fontId="10" fillId="0" borderId="0" xfId="2" applyFont="1"/>
    <xf numFmtId="37" fontId="11" fillId="0" borderId="0" xfId="2" applyFont="1"/>
    <xf numFmtId="37" fontId="12" fillId="0" borderId="0" xfId="2" applyFont="1" applyAlignment="1">
      <alignment vertical="top"/>
    </xf>
    <xf numFmtId="37" fontId="10" fillId="13" borderId="1" xfId="2" applyFont="1" applyFill="1" applyBorder="1" applyAlignment="1">
      <alignment horizontal="center"/>
    </xf>
    <xf numFmtId="37" fontId="10" fillId="0" borderId="1" xfId="2" applyFont="1" applyBorder="1"/>
    <xf numFmtId="166" fontId="10" fillId="0" borderId="1" xfId="2" applyNumberFormat="1" applyFont="1" applyBorder="1"/>
    <xf numFmtId="37" fontId="11" fillId="0" borderId="1" xfId="2" applyFont="1" applyBorder="1"/>
    <xf numFmtId="166" fontId="11" fillId="0" borderId="1" xfId="2" applyNumberFormat="1" applyFont="1" applyBorder="1"/>
    <xf numFmtId="37" fontId="10" fillId="0" borderId="1" xfId="2" quotePrefix="1" applyFont="1" applyBorder="1"/>
    <xf numFmtId="37" fontId="11" fillId="0" borderId="1" xfId="2" quotePrefix="1" applyFont="1" applyBorder="1"/>
    <xf numFmtId="37" fontId="10" fillId="13" borderId="1" xfId="2" quotePrefix="1" applyFont="1" applyFill="1" applyBorder="1"/>
    <xf numFmtId="166" fontId="10" fillId="13" borderId="1" xfId="2" applyNumberFormat="1" applyFont="1" applyFill="1" applyBorder="1"/>
    <xf numFmtId="37" fontId="10" fillId="13" borderId="3" xfId="2" applyFont="1" applyFill="1" applyBorder="1"/>
    <xf numFmtId="37" fontId="10" fillId="13" borderId="1" xfId="2" applyFont="1" applyFill="1" applyBorder="1"/>
    <xf numFmtId="37" fontId="10" fillId="3" borderId="1" xfId="2" applyFont="1" applyFill="1" applyBorder="1"/>
    <xf numFmtId="166" fontId="10" fillId="3" borderId="1" xfId="2" applyNumberFormat="1" applyFont="1" applyFill="1" applyBorder="1"/>
    <xf numFmtId="9" fontId="11" fillId="0" borderId="0" xfId="3" applyFont="1"/>
    <xf numFmtId="37" fontId="11" fillId="0" borderId="1" xfId="2" applyFont="1" applyBorder="1" applyAlignment="1">
      <alignment horizontal="center"/>
    </xf>
    <xf numFmtId="167" fontId="11" fillId="0" borderId="0" xfId="3" applyNumberFormat="1" applyFont="1"/>
    <xf numFmtId="10" fontId="11" fillId="0" borderId="0" xfId="3" applyNumberFormat="1" applyFont="1"/>
    <xf numFmtId="10" fontId="11" fillId="0" borderId="1" xfId="3" applyNumberFormat="1" applyFont="1" applyBorder="1"/>
    <xf numFmtId="37" fontId="11" fillId="0" borderId="0" xfId="2" applyFont="1" applyAlignment="1">
      <alignment horizontal="center"/>
    </xf>
    <xf numFmtId="10" fontId="11" fillId="0" borderId="1" xfId="3" quotePrefix="1" applyNumberFormat="1" applyFont="1" applyBorder="1" applyAlignment="1">
      <alignment horizontal="center"/>
    </xf>
    <xf numFmtId="37" fontId="13" fillId="0" borderId="0" xfId="2" applyFont="1"/>
    <xf numFmtId="0" fontId="14" fillId="0" borderId="0" xfId="2" applyNumberFormat="1" applyFont="1"/>
    <xf numFmtId="37" fontId="14" fillId="0" borderId="0" xfId="2" applyFont="1"/>
    <xf numFmtId="166" fontId="14" fillId="0" borderId="0" xfId="2" applyNumberFormat="1" applyFont="1"/>
    <xf numFmtId="166" fontId="14" fillId="10" borderId="1" xfId="2" applyNumberFormat="1" applyFont="1" applyFill="1" applyBorder="1"/>
    <xf numFmtId="166" fontId="15" fillId="0" borderId="0" xfId="2" applyNumberFormat="1" applyFont="1"/>
    <xf numFmtId="167" fontId="14" fillId="10" borderId="1" xfId="1" applyNumberFormat="1" applyFont="1" applyFill="1" applyBorder="1"/>
    <xf numFmtId="37" fontId="11" fillId="14" borderId="0" xfId="2" applyFont="1" applyFill="1"/>
    <xf numFmtId="37" fontId="11" fillId="6" borderId="1" xfId="2" applyFont="1" applyFill="1" applyBorder="1"/>
    <xf numFmtId="10" fontId="11" fillId="6" borderId="1" xfId="3" applyNumberFormat="1" applyFont="1" applyFill="1" applyBorder="1"/>
    <xf numFmtId="37" fontId="17" fillId="15" borderId="0" xfId="2" applyFont="1" applyFill="1" applyAlignment="1">
      <alignment horizontal="center"/>
    </xf>
    <xf numFmtId="37" fontId="17" fillId="16" borderId="0" xfId="2" applyFont="1" applyFill="1" applyAlignment="1">
      <alignment horizontal="center"/>
    </xf>
    <xf numFmtId="166" fontId="14" fillId="17" borderId="0" xfId="2" applyNumberFormat="1" applyFont="1" applyFill="1"/>
    <xf numFmtId="37" fontId="13" fillId="4" borderId="0" xfId="2" applyFont="1" applyFill="1"/>
    <xf numFmtId="166" fontId="15" fillId="4" borderId="0" xfId="2" applyNumberFormat="1" applyFont="1" applyFill="1"/>
    <xf numFmtId="10" fontId="11" fillId="0" borderId="1" xfId="3" applyNumberFormat="1" applyFont="1" applyFill="1" applyBorder="1"/>
    <xf numFmtId="9" fontId="11" fillId="6" borderId="0" xfId="1" applyFont="1" applyFill="1"/>
  </cellXfs>
  <cellStyles count="4">
    <cellStyle name="Normal" xfId="0" builtinId="0"/>
    <cellStyle name="Normal 2" xfId="2" xr:uid="{AD7817EE-1B83-49DE-ADAA-B247BC72285D}"/>
    <cellStyle name="Porcentagem" xfId="1" builtinId="5"/>
    <cellStyle name="Porcentagem 2" xfId="3" xr:uid="{DC833150-4BE2-45A7-9843-F17B86884E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aprod3\USIMINAS%20TESTE%202\USIMINAS%20TESTE%202\Dados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9fed0f691edaa3cc/Documents/Antigos/Bahia%20Laudo/Projecao%20EC%20Bahia%20VNova.xlsx" TargetMode="External"/><Relationship Id="rId1" Type="http://schemas.openxmlformats.org/officeDocument/2006/relationships/externalLinkPath" Target="/9fed0f691edaa3cc/Documents/Antigos/Bahia%20Laudo/Projecao%20EC%20Bahia%20VNo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suarios"/>
      <sheetName val="APOIO"/>
      <sheetName val="FILIAIS"/>
      <sheetName val="Project"/>
      <sheetName val="Dados"/>
      <sheetName val="#REF"/>
      <sheetName val="Auxiliar"/>
      <sheetName val="Listas Suspensas"/>
      <sheetName val="Apoi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ntrada de Dados"/>
      <sheetName val="Entrada Macro"/>
      <sheetName val="Highlights"/>
      <sheetName val="Spread"/>
      <sheetName val="Apresentação Num Grds NOVO"/>
      <sheetName val="Apresentação Num Grds NOVO (2)"/>
      <sheetName val="premissas"/>
      <sheetName val="FCD Selic Média"/>
      <sheetName val="FCD Selic atual"/>
      <sheetName val="dados operacionais"/>
      <sheetName val="VENDAS"/>
      <sheetName val="CUSTOS "/>
      <sheetName val="OTHER ASSUMPTIONS"/>
      <sheetName val="BANCOS"/>
      <sheetName val="INCOME TAX"/>
      <sheetName val="DIVIDENDS"/>
      <sheetName val="PROJECTION IN REAIS"/>
      <sheetName val="Apresentação Num Grds"/>
      <sheetName val="Índices"/>
      <sheetName val="Máscara"/>
      <sheetName val="Rating Anti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Cesar Grafietti" id="{4CFBA0B1-40C2-47D0-B236-76D5096BD140}" userId="9fed0f691edaa3cc" providerId="Windows Live"/>
</personList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9" dT="2025-03-31T16:17:46.48" personId="{4CFBA0B1-40C2-47D0-B236-76D5096BD140}" id="{AF82BA50-D808-4FBC-8689-CB4ED77F8774}">
    <text>O correto é fazer uma projeção da dívida, de forma a calcular o custos financeiro a partir dela, incluindo não apenas a Selic, mas também o spread bancário e a variação cambial, quando necessário. O exercício aqui é meramente informativo, e para este fim estou apenas corrigindo o valor.</text>
  </threadedComment>
  <threadedComment ref="B51" dT="2025-03-31T16:23:15.47" personId="{4CFBA0B1-40C2-47D0-B236-76D5096BD140}" id="{6160C64C-917B-479C-93BB-78347A2F7144}">
    <text xml:space="preserve">Novamente estamos fazendo uma simplificação do processo, pois o correto é projetarmos o comportamento de todas as linhas de ativo e passivo para chegarmos ao efeito de variação do capital de giro. Os elementos mais importantes aqui estão associados á venda e compra de atletas, uma vez que os pagamentos e recebimentos são parcelados e impactos as Contas a Receber e Contas a Pagar a Clubes. Movimentações salariais também são importantes à medida em que o valor da folha salarial aumenta ou diminui.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C4777-E15D-469F-B5F2-83C52B4DF10F}">
  <dimension ref="B2:T68"/>
  <sheetViews>
    <sheetView showGridLines="0" topLeftCell="B1" zoomScale="90" zoomScaleNormal="90" workbookViewId="0">
      <selection activeCell="Q45" sqref="Q45"/>
    </sheetView>
  </sheetViews>
  <sheetFormatPr defaultRowHeight="16.8" x14ac:dyDescent="0.4"/>
  <cols>
    <col min="1" max="1" width="8.88671875" style="90"/>
    <col min="2" max="2" width="44" style="90" bestFit="1" customWidth="1"/>
    <col min="3" max="3" width="8.109375" style="90" customWidth="1"/>
    <col min="4" max="4" width="9.21875" style="114" bestFit="1" customWidth="1"/>
    <col min="5" max="5" width="9.109375" style="114" bestFit="1" customWidth="1"/>
    <col min="6" max="10" width="9" style="114" bestFit="1" customWidth="1"/>
    <col min="11" max="12" width="8.88671875" style="90"/>
    <col min="13" max="13" width="1" style="90" customWidth="1"/>
    <col min="14" max="14" width="9" style="90" bestFit="1" customWidth="1"/>
    <col min="15" max="15" width="51" style="90" bestFit="1" customWidth="1"/>
    <col min="16" max="22" width="9.21875" style="90" customWidth="1"/>
    <col min="23" max="16384" width="8.88671875" style="90"/>
  </cols>
  <sheetData>
    <row r="2" spans="2:20" x14ac:dyDescent="0.4">
      <c r="B2" s="90" t="s">
        <v>119</v>
      </c>
      <c r="F2" s="118">
        <v>3.5000000000000003E-2</v>
      </c>
      <c r="G2" s="118">
        <v>3.5000000000000003E-2</v>
      </c>
      <c r="H2" s="118">
        <v>3.5000000000000003E-2</v>
      </c>
      <c r="I2" s="118">
        <v>3.5000000000000003E-2</v>
      </c>
      <c r="J2" s="118">
        <v>3.5000000000000003E-2</v>
      </c>
    </row>
    <row r="3" spans="2:20" x14ac:dyDescent="0.4">
      <c r="B3" s="90" t="s">
        <v>120</v>
      </c>
      <c r="F3" s="118">
        <v>0.05</v>
      </c>
      <c r="G3" s="118">
        <v>0.05</v>
      </c>
      <c r="H3" s="118">
        <v>0.15</v>
      </c>
      <c r="I3" s="118">
        <v>0.15</v>
      </c>
      <c r="J3" s="118">
        <v>0.1</v>
      </c>
    </row>
    <row r="4" spans="2:20" x14ac:dyDescent="0.4">
      <c r="B4" s="90" t="s">
        <v>121</v>
      </c>
      <c r="F4" s="118">
        <v>2.5000000000000001E-2</v>
      </c>
      <c r="G4" s="118">
        <v>2.5000000000000001E-2</v>
      </c>
      <c r="H4" s="118">
        <v>0.1</v>
      </c>
      <c r="I4" s="118">
        <v>0.1</v>
      </c>
      <c r="J4" s="118">
        <v>0.05</v>
      </c>
    </row>
    <row r="5" spans="2:20" x14ac:dyDescent="0.4">
      <c r="B5" s="90" t="s">
        <v>22</v>
      </c>
      <c r="F5" s="118">
        <v>0.1</v>
      </c>
      <c r="G5" s="118">
        <v>0.11</v>
      </c>
      <c r="H5" s="118">
        <v>0.12</v>
      </c>
      <c r="I5" s="118">
        <v>0.15</v>
      </c>
      <c r="J5" s="118">
        <v>0.1</v>
      </c>
    </row>
    <row r="7" spans="2:20" x14ac:dyDescent="0.4">
      <c r="D7" s="123" t="s">
        <v>123</v>
      </c>
      <c r="E7" s="123"/>
      <c r="F7" s="122" t="s">
        <v>124</v>
      </c>
      <c r="G7" s="122"/>
      <c r="H7" s="122"/>
      <c r="I7" s="122"/>
      <c r="J7" s="122"/>
    </row>
    <row r="8" spans="2:20" x14ac:dyDescent="0.4">
      <c r="D8" s="113">
        <v>2022</v>
      </c>
      <c r="E8" s="113">
        <v>2023</v>
      </c>
      <c r="F8" s="113">
        <v>2024</v>
      </c>
      <c r="G8" s="113">
        <v>2025</v>
      </c>
      <c r="H8" s="113">
        <v>2026</v>
      </c>
      <c r="I8" s="113">
        <v>2027</v>
      </c>
      <c r="J8" s="113">
        <v>2028</v>
      </c>
    </row>
    <row r="9" spans="2:20" x14ac:dyDescent="0.4">
      <c r="B9" s="112" t="s">
        <v>78</v>
      </c>
      <c r="C9" s="112"/>
      <c r="D9" s="117">
        <f>SUM(D10:D18)</f>
        <v>190000</v>
      </c>
      <c r="E9" s="117">
        <f t="shared" ref="E9:J9" si="0">SUM(E10:E18)</f>
        <v>197000</v>
      </c>
      <c r="F9" s="117">
        <f t="shared" si="0"/>
        <v>214089.74999999997</v>
      </c>
      <c r="G9" s="117">
        <f t="shared" si="0"/>
        <v>232662.03581249996</v>
      </c>
      <c r="H9" s="117">
        <f t="shared" si="0"/>
        <v>276925.98812582804</v>
      </c>
      <c r="I9" s="117">
        <f t="shared" si="0"/>
        <v>329611.15736676677</v>
      </c>
      <c r="J9" s="117">
        <f t="shared" si="0"/>
        <v>375262.30266206397</v>
      </c>
      <c r="O9" s="89" t="s">
        <v>122</v>
      </c>
    </row>
    <row r="10" spans="2:20" x14ac:dyDescent="0.4">
      <c r="B10" s="90" t="s">
        <v>79</v>
      </c>
      <c r="D10" s="124">
        <v>100000</v>
      </c>
      <c r="E10" s="124">
        <v>110000</v>
      </c>
      <c r="F10" s="116">
        <f>(E10*(1+F$2))*(1+F$3)</f>
        <v>119542.49999999999</v>
      </c>
      <c r="G10" s="116">
        <f t="shared" ref="G10:J10" si="1">(F10*(1+G$2))*(1+G$3)</f>
        <v>129912.81187499998</v>
      </c>
      <c r="H10" s="116">
        <f t="shared" si="1"/>
        <v>154628.72433421871</v>
      </c>
      <c r="I10" s="116">
        <f t="shared" si="1"/>
        <v>184046.8391388038</v>
      </c>
      <c r="J10" s="116">
        <f t="shared" si="1"/>
        <v>209537.32635952812</v>
      </c>
      <c r="O10" s="91" t="s">
        <v>21</v>
      </c>
      <c r="P10" s="92">
        <v>2023</v>
      </c>
      <c r="Q10" s="92">
        <v>2024</v>
      </c>
      <c r="R10" s="92">
        <v>2025</v>
      </c>
      <c r="S10" s="92">
        <v>2026</v>
      </c>
      <c r="T10" s="92">
        <v>2027</v>
      </c>
    </row>
    <row r="11" spans="2:20" x14ac:dyDescent="0.4">
      <c r="B11" s="90" t="s">
        <v>80</v>
      </c>
      <c r="D11" s="124">
        <v>25000</v>
      </c>
      <c r="E11" s="124">
        <v>28000</v>
      </c>
      <c r="F11" s="116">
        <f t="shared" ref="F11:J18" si="2">(E11*(1+F$2))*(1+F$3)</f>
        <v>30428.999999999996</v>
      </c>
      <c r="G11" s="116">
        <f t="shared" si="2"/>
        <v>33068.715749999996</v>
      </c>
      <c r="H11" s="116">
        <f t="shared" si="2"/>
        <v>39360.038921437488</v>
      </c>
      <c r="I11" s="116">
        <f t="shared" si="2"/>
        <v>46848.286326240966</v>
      </c>
      <c r="J11" s="116">
        <f t="shared" si="2"/>
        <v>53336.773982425337</v>
      </c>
      <c r="O11" s="93" t="s">
        <v>77</v>
      </c>
      <c r="P11" s="94">
        <f>F9</f>
        <v>214089.74999999997</v>
      </c>
      <c r="Q11" s="94">
        <f t="shared" ref="Q11:T11" si="3">G9</f>
        <v>232662.03581249996</v>
      </c>
      <c r="R11" s="94">
        <f t="shared" si="3"/>
        <v>276925.98812582804</v>
      </c>
      <c r="S11" s="94">
        <f t="shared" si="3"/>
        <v>329611.15736676677</v>
      </c>
      <c r="T11" s="94">
        <f t="shared" si="3"/>
        <v>375262.30266206397</v>
      </c>
    </row>
    <row r="12" spans="2:20" x14ac:dyDescent="0.4">
      <c r="B12" s="90" t="s">
        <v>81</v>
      </c>
      <c r="D12" s="124">
        <v>20000</v>
      </c>
      <c r="E12" s="124">
        <v>22000</v>
      </c>
      <c r="F12" s="116">
        <f t="shared" si="2"/>
        <v>23908.5</v>
      </c>
      <c r="G12" s="116">
        <f t="shared" si="2"/>
        <v>25982.562374999998</v>
      </c>
      <c r="H12" s="116">
        <f t="shared" si="2"/>
        <v>30925.744866843743</v>
      </c>
      <c r="I12" s="116">
        <f t="shared" si="2"/>
        <v>36809.367827760761</v>
      </c>
      <c r="J12" s="116">
        <f t="shared" si="2"/>
        <v>41907.465271905632</v>
      </c>
      <c r="O12" s="95" t="s">
        <v>43</v>
      </c>
      <c r="P12" s="96">
        <f>F20</f>
        <v>-7607.2499999999991</v>
      </c>
      <c r="Q12" s="96">
        <f t="shared" ref="Q12:T12" si="4">G20</f>
        <v>-8267.1789374999989</v>
      </c>
      <c r="R12" s="96">
        <f t="shared" si="4"/>
        <v>-9840.009730359372</v>
      </c>
      <c r="S12" s="96">
        <f t="shared" si="4"/>
        <v>-11712.071581560242</v>
      </c>
      <c r="T12" s="96">
        <f t="shared" si="4"/>
        <v>-13334.193495606334</v>
      </c>
    </row>
    <row r="13" spans="2:20" x14ac:dyDescent="0.4">
      <c r="B13" s="90" t="s">
        <v>82</v>
      </c>
      <c r="D13" s="124">
        <v>10000</v>
      </c>
      <c r="E13" s="124">
        <v>15000</v>
      </c>
      <c r="F13" s="116">
        <f t="shared" si="2"/>
        <v>16301.249999999998</v>
      </c>
      <c r="G13" s="116">
        <f t="shared" si="2"/>
        <v>17715.383437499997</v>
      </c>
      <c r="H13" s="116">
        <f t="shared" si="2"/>
        <v>21085.735136484371</v>
      </c>
      <c r="I13" s="116">
        <f t="shared" si="2"/>
        <v>25097.29624620052</v>
      </c>
      <c r="J13" s="116">
        <f t="shared" si="2"/>
        <v>28573.271776299291</v>
      </c>
      <c r="O13" s="93" t="s">
        <v>44</v>
      </c>
      <c r="P13" s="94">
        <f>P11+P12</f>
        <v>206482.49999999997</v>
      </c>
      <c r="Q13" s="94">
        <f t="shared" ref="Q13:T13" si="5">Q11+Q12</f>
        <v>224394.85687499997</v>
      </c>
      <c r="R13" s="94">
        <f t="shared" si="5"/>
        <v>267085.97839546867</v>
      </c>
      <c r="S13" s="94">
        <f t="shared" si="5"/>
        <v>317899.08578520652</v>
      </c>
      <c r="T13" s="94">
        <f t="shared" si="5"/>
        <v>361928.10916645767</v>
      </c>
    </row>
    <row r="14" spans="2:20" x14ac:dyDescent="0.4">
      <c r="B14" s="90" t="s">
        <v>106</v>
      </c>
      <c r="D14" s="124">
        <v>25000</v>
      </c>
      <c r="E14" s="124">
        <v>10000</v>
      </c>
      <c r="F14" s="116">
        <f t="shared" si="2"/>
        <v>10867.5</v>
      </c>
      <c r="G14" s="116">
        <f t="shared" si="2"/>
        <v>11810.255625</v>
      </c>
      <c r="H14" s="116">
        <f t="shared" si="2"/>
        <v>14057.156757656248</v>
      </c>
      <c r="I14" s="116">
        <f t="shared" si="2"/>
        <v>16731.530830800348</v>
      </c>
      <c r="J14" s="116">
        <f t="shared" si="2"/>
        <v>19048.847850866197</v>
      </c>
      <c r="O14" s="95" t="s">
        <v>45</v>
      </c>
      <c r="P14" s="96">
        <f>F31</f>
        <v>-169209.56249999997</v>
      </c>
      <c r="Q14" s="96">
        <f t="shared" ref="Q14:T14" si="6">G31</f>
        <v>-179510.19461718743</v>
      </c>
      <c r="R14" s="96">
        <f t="shared" si="6"/>
        <v>-204372.35657166786</v>
      </c>
      <c r="S14" s="96">
        <f t="shared" si="6"/>
        <v>-232677.92795684387</v>
      </c>
      <c r="T14" s="96">
        <f t="shared" si="6"/>
        <v>-252862.73820710008</v>
      </c>
    </row>
    <row r="15" spans="2:20" x14ac:dyDescent="0.4">
      <c r="B15" s="90" t="s">
        <v>83</v>
      </c>
      <c r="D15" s="124">
        <v>5000</v>
      </c>
      <c r="E15" s="124">
        <v>5500</v>
      </c>
      <c r="F15" s="116">
        <f t="shared" si="2"/>
        <v>5977.125</v>
      </c>
      <c r="G15" s="116">
        <f t="shared" si="2"/>
        <v>6495.6405937499994</v>
      </c>
      <c r="H15" s="116">
        <f t="shared" si="2"/>
        <v>7731.4362167109357</v>
      </c>
      <c r="I15" s="116">
        <f t="shared" si="2"/>
        <v>9202.3419569401904</v>
      </c>
      <c r="J15" s="116">
        <f t="shared" si="2"/>
        <v>10476.866317976408</v>
      </c>
      <c r="O15" s="97" t="s">
        <v>46</v>
      </c>
      <c r="P15" s="94">
        <f>P13+P14</f>
        <v>37272.9375</v>
      </c>
      <c r="Q15" s="94">
        <f t="shared" ref="Q15:T15" si="7">Q13+Q14</f>
        <v>44884.662257812539</v>
      </c>
      <c r="R15" s="94">
        <f t="shared" si="7"/>
        <v>62713.621823800815</v>
      </c>
      <c r="S15" s="94">
        <f t="shared" si="7"/>
        <v>85221.157828362659</v>
      </c>
      <c r="T15" s="94">
        <f t="shared" si="7"/>
        <v>109065.37095935759</v>
      </c>
    </row>
    <row r="16" spans="2:20" x14ac:dyDescent="0.4">
      <c r="B16" s="90" t="s">
        <v>84</v>
      </c>
      <c r="D16" s="124">
        <v>1000</v>
      </c>
      <c r="E16" s="124">
        <v>1500</v>
      </c>
      <c r="F16" s="116">
        <f t="shared" si="2"/>
        <v>1630.1249999999998</v>
      </c>
      <c r="G16" s="116">
        <f t="shared" si="2"/>
        <v>1771.5383437499997</v>
      </c>
      <c r="H16" s="116">
        <f t="shared" si="2"/>
        <v>2108.5735136484368</v>
      </c>
      <c r="I16" s="116">
        <f t="shared" si="2"/>
        <v>2509.7296246200513</v>
      </c>
      <c r="J16" s="116">
        <f t="shared" si="2"/>
        <v>2857.327177629928</v>
      </c>
      <c r="O16" s="95" t="s">
        <v>47</v>
      </c>
      <c r="P16" s="96">
        <f>F34+F35+F36</f>
        <v>-23339.25</v>
      </c>
      <c r="Q16" s="96">
        <f t="shared" ref="Q16:T16" si="8">G34+G35+G36</f>
        <v>-24760.026843749994</v>
      </c>
      <c r="R16" s="96">
        <f t="shared" si="8"/>
        <v>-28189.290561609374</v>
      </c>
      <c r="S16" s="96">
        <f t="shared" si="8"/>
        <v>-32093.507304392271</v>
      </c>
      <c r="T16" s="96">
        <f t="shared" si="8"/>
        <v>-34877.619063048303</v>
      </c>
    </row>
    <row r="17" spans="2:20" hidden="1" x14ac:dyDescent="0.4">
      <c r="D17" s="124"/>
      <c r="E17" s="124"/>
      <c r="F17" s="116">
        <f t="shared" si="2"/>
        <v>0</v>
      </c>
      <c r="G17" s="116">
        <f t="shared" si="2"/>
        <v>0</v>
      </c>
      <c r="H17" s="116">
        <f t="shared" si="2"/>
        <v>0</v>
      </c>
      <c r="I17" s="116">
        <f t="shared" si="2"/>
        <v>0</v>
      </c>
      <c r="J17" s="116">
        <f t="shared" si="2"/>
        <v>0</v>
      </c>
      <c r="O17" s="95"/>
      <c r="P17" s="96"/>
      <c r="Q17" s="96"/>
      <c r="R17" s="96"/>
      <c r="S17" s="96"/>
      <c r="T17" s="96"/>
    </row>
    <row r="18" spans="2:20" x14ac:dyDescent="0.4">
      <c r="B18" s="90" t="s">
        <v>85</v>
      </c>
      <c r="D18" s="124">
        <v>4000</v>
      </c>
      <c r="E18" s="124">
        <v>5000</v>
      </c>
      <c r="F18" s="116">
        <f t="shared" si="2"/>
        <v>5433.75</v>
      </c>
      <c r="G18" s="116">
        <f t="shared" si="2"/>
        <v>5905.1278124999999</v>
      </c>
      <c r="H18" s="116">
        <f t="shared" si="2"/>
        <v>7028.5783788281242</v>
      </c>
      <c r="I18" s="116">
        <f t="shared" si="2"/>
        <v>8365.7654154001739</v>
      </c>
      <c r="J18" s="116">
        <f t="shared" si="2"/>
        <v>9524.4239254330987</v>
      </c>
      <c r="O18" s="97" t="s">
        <v>48</v>
      </c>
      <c r="P18" s="94">
        <f>P15+P16+P17</f>
        <v>13933.6875</v>
      </c>
      <c r="Q18" s="94">
        <f t="shared" ref="Q18:T18" si="9">Q15+Q16+Q17</f>
        <v>20124.635414062544</v>
      </c>
      <c r="R18" s="94">
        <f t="shared" si="9"/>
        <v>34524.331262191437</v>
      </c>
      <c r="S18" s="94">
        <f t="shared" si="9"/>
        <v>53127.650523970384</v>
      </c>
      <c r="T18" s="94">
        <f t="shared" si="9"/>
        <v>74187.751896309288</v>
      </c>
    </row>
    <row r="19" spans="2:20" x14ac:dyDescent="0.4">
      <c r="D19" s="115"/>
      <c r="E19" s="115"/>
      <c r="F19" s="115"/>
      <c r="G19" s="115"/>
      <c r="H19" s="115"/>
      <c r="I19" s="115"/>
      <c r="J19" s="115"/>
      <c r="O19" s="98" t="s">
        <v>49</v>
      </c>
      <c r="P19" s="96">
        <f>F43</f>
        <v>0</v>
      </c>
      <c r="Q19" s="96">
        <f t="shared" ref="Q19:T19" si="10">G43</f>
        <v>0</v>
      </c>
      <c r="R19" s="96">
        <f t="shared" si="10"/>
        <v>0</v>
      </c>
      <c r="S19" s="96">
        <f t="shared" si="10"/>
        <v>0</v>
      </c>
      <c r="T19" s="96">
        <f t="shared" si="10"/>
        <v>0</v>
      </c>
    </row>
    <row r="20" spans="2:20" x14ac:dyDescent="0.4">
      <c r="B20" s="90" t="s">
        <v>86</v>
      </c>
      <c r="D20" s="124">
        <v>-5000</v>
      </c>
      <c r="E20" s="124">
        <v>-7000</v>
      </c>
      <c r="F20" s="116">
        <f>(E20/E9)*F9</f>
        <v>-7607.2499999999991</v>
      </c>
      <c r="G20" s="116">
        <f t="shared" ref="G20:J20" si="11">(F20/F9)*G9</f>
        <v>-8267.1789374999989</v>
      </c>
      <c r="H20" s="116">
        <f t="shared" si="11"/>
        <v>-9840.009730359372</v>
      </c>
      <c r="I20" s="116">
        <f t="shared" si="11"/>
        <v>-11712.071581560242</v>
      </c>
      <c r="J20" s="116">
        <f t="shared" si="11"/>
        <v>-13334.193495606334</v>
      </c>
      <c r="O20" s="97" t="s">
        <v>50</v>
      </c>
      <c r="P20" s="94">
        <f>P18+P19</f>
        <v>13933.6875</v>
      </c>
      <c r="Q20" s="94">
        <f t="shared" ref="Q20:T20" si="12">Q18+Q19</f>
        <v>20124.635414062544</v>
      </c>
      <c r="R20" s="94">
        <f t="shared" si="12"/>
        <v>34524.331262191437</v>
      </c>
      <c r="S20" s="94">
        <f t="shared" si="12"/>
        <v>53127.650523970384</v>
      </c>
      <c r="T20" s="94">
        <f t="shared" si="12"/>
        <v>74187.751896309288</v>
      </c>
    </row>
    <row r="21" spans="2:20" x14ac:dyDescent="0.4">
      <c r="B21" s="112" t="s">
        <v>87</v>
      </c>
      <c r="C21" s="112"/>
      <c r="D21" s="117">
        <f>SUM(D10:D20)</f>
        <v>185000</v>
      </c>
      <c r="E21" s="117">
        <f>SUM(E10:E20)</f>
        <v>190000</v>
      </c>
      <c r="F21" s="117">
        <f>SUM(F10:F20)</f>
        <v>206482.49999999997</v>
      </c>
      <c r="G21" s="117">
        <f>SUM(G10:G20)</f>
        <v>224394.85687499997</v>
      </c>
      <c r="H21" s="117">
        <f>SUM(H10:H20)</f>
        <v>267085.97839546867</v>
      </c>
      <c r="I21" s="117">
        <f>SUM(I10:I20)</f>
        <v>317899.08578520652</v>
      </c>
      <c r="J21" s="117">
        <f>SUM(J10:J20)</f>
        <v>361928.10916645767</v>
      </c>
      <c r="O21" s="95" t="s">
        <v>51</v>
      </c>
      <c r="P21" s="96">
        <f>(E53-F53+E54-F54+E55-F55+F57-E57+F58-E58+F59-E59+F60-E60+F61-E61)</f>
        <v>1095.7500000000009</v>
      </c>
      <c r="Q21" s="96">
        <f t="shared" ref="Q21:T21" si="13">(F53-G53+F54-G54+F55-G55+G57-F57+G58-F58+G59-F59+G60-F60+G61-F61)</f>
        <v>1162.4537812499984</v>
      </c>
      <c r="R21" s="96">
        <f t="shared" si="13"/>
        <v>2805.7612237031217</v>
      </c>
      <c r="S21" s="96">
        <f t="shared" si="13"/>
        <v>3194.3591531860093</v>
      </c>
      <c r="T21" s="96">
        <f t="shared" si="13"/>
        <v>2277.9096207185712</v>
      </c>
    </row>
    <row r="22" spans="2:20" x14ac:dyDescent="0.4">
      <c r="D22" s="115"/>
      <c r="E22" s="115"/>
      <c r="F22" s="115"/>
      <c r="G22" s="115"/>
      <c r="H22" s="115"/>
      <c r="I22" s="115"/>
      <c r="J22" s="115"/>
      <c r="O22" s="95" t="s">
        <v>52</v>
      </c>
      <c r="P22" s="96">
        <f>F68</f>
        <v>-30000</v>
      </c>
      <c r="Q22" s="96">
        <f t="shared" ref="Q22:T22" si="14">G68</f>
        <v>-5000</v>
      </c>
      <c r="R22" s="96">
        <f t="shared" si="14"/>
        <v>-2500</v>
      </c>
      <c r="S22" s="96">
        <f t="shared" si="14"/>
        <v>-2500</v>
      </c>
      <c r="T22" s="96">
        <f t="shared" si="14"/>
        <v>-2500</v>
      </c>
    </row>
    <row r="23" spans="2:20" x14ac:dyDescent="0.4">
      <c r="B23" s="90" t="s">
        <v>88</v>
      </c>
      <c r="D23" s="124">
        <v>-95000</v>
      </c>
      <c r="E23" s="124">
        <v>-100000</v>
      </c>
      <c r="F23" s="116">
        <f>(E23*(1+F$2))*(1+F$4)</f>
        <v>-106087.49999999997</v>
      </c>
      <c r="G23" s="116">
        <f t="shared" ref="G23:J23" si="15">(F23*(1+G$2))*(1+G$4)</f>
        <v>-112545.57656249995</v>
      </c>
      <c r="H23" s="116">
        <f t="shared" si="15"/>
        <v>-128133.13891640618</v>
      </c>
      <c r="I23" s="116">
        <f t="shared" si="15"/>
        <v>-145879.57865632843</v>
      </c>
      <c r="J23" s="116">
        <f t="shared" si="15"/>
        <v>-158534.63210476493</v>
      </c>
      <c r="O23" s="95" t="s">
        <v>53</v>
      </c>
      <c r="P23" s="96">
        <f>F67</f>
        <v>-5000</v>
      </c>
      <c r="Q23" s="96">
        <f t="shared" ref="Q23:T23" si="16">G67</f>
        <v>-5000</v>
      </c>
      <c r="R23" s="96">
        <f t="shared" si="16"/>
        <v>-7500</v>
      </c>
      <c r="S23" s="96">
        <f t="shared" si="16"/>
        <v>-7500</v>
      </c>
      <c r="T23" s="96">
        <f t="shared" si="16"/>
        <v>-10000</v>
      </c>
    </row>
    <row r="24" spans="2:20" x14ac:dyDescent="0.4">
      <c r="B24" s="90" t="s">
        <v>89</v>
      </c>
      <c r="D24" s="124">
        <v>-25000</v>
      </c>
      <c r="E24" s="124">
        <v>-27500</v>
      </c>
      <c r="F24" s="116">
        <f t="shared" ref="F24:J24" si="17">(E24*(1+F$2))*(1+F$4)</f>
        <v>-29174.062499999993</v>
      </c>
      <c r="G24" s="116">
        <f t="shared" si="17"/>
        <v>-30950.033554687489</v>
      </c>
      <c r="H24" s="116">
        <f t="shared" si="17"/>
        <v>-35236.613202011707</v>
      </c>
      <c r="I24" s="116">
        <f t="shared" si="17"/>
        <v>-40116.884130490333</v>
      </c>
      <c r="J24" s="116">
        <f t="shared" si="17"/>
        <v>-43597.023828810365</v>
      </c>
      <c r="O24" s="99" t="s">
        <v>54</v>
      </c>
      <c r="P24" s="100">
        <f>P20+P21+P22+P23</f>
        <v>-19970.5625</v>
      </c>
      <c r="Q24" s="100">
        <f>Q20+Q21+Q22+Q23</f>
        <v>11287.089195312543</v>
      </c>
      <c r="R24" s="100">
        <f>R20+R21+R22+R23</f>
        <v>27330.092485894558</v>
      </c>
      <c r="S24" s="100">
        <f>S20+S21+S22+S23</f>
        <v>46322.009677156391</v>
      </c>
      <c r="T24" s="100">
        <f>T20+T21+T22+T23</f>
        <v>63965.661517027853</v>
      </c>
    </row>
    <row r="25" spans="2:20" x14ac:dyDescent="0.4">
      <c r="B25" s="90" t="s">
        <v>90</v>
      </c>
      <c r="D25" s="124">
        <v>-10000</v>
      </c>
      <c r="E25" s="124">
        <v>-5000</v>
      </c>
      <c r="F25" s="116">
        <f t="shared" ref="F25:J25" si="18">(E25*(1+F$2))*(1+F$4)</f>
        <v>-5304.3749999999991</v>
      </c>
      <c r="G25" s="116">
        <f t="shared" si="18"/>
        <v>-5627.2788281249987</v>
      </c>
      <c r="H25" s="116">
        <f t="shared" si="18"/>
        <v>-6406.6569458203103</v>
      </c>
      <c r="I25" s="116">
        <f t="shared" si="18"/>
        <v>-7293.9789328164234</v>
      </c>
      <c r="J25" s="116">
        <f t="shared" si="18"/>
        <v>-7926.7316052382484</v>
      </c>
      <c r="O25" s="90" t="s">
        <v>10</v>
      </c>
      <c r="T25" s="101">
        <f>P43</f>
        <v>567742.55784344254</v>
      </c>
    </row>
    <row r="26" spans="2:20" x14ac:dyDescent="0.4">
      <c r="B26" s="90" t="s">
        <v>91</v>
      </c>
      <c r="D26" s="124">
        <v>-5000</v>
      </c>
      <c r="E26" s="124">
        <v>-5000</v>
      </c>
      <c r="F26" s="116">
        <f t="shared" ref="F26:J26" si="19">(E26*(1+F$2))*(1+F$4)</f>
        <v>-5304.3749999999991</v>
      </c>
      <c r="G26" s="116">
        <f t="shared" si="19"/>
        <v>-5627.2788281249987</v>
      </c>
      <c r="H26" s="116">
        <f t="shared" si="19"/>
        <v>-6406.6569458203103</v>
      </c>
      <c r="I26" s="116">
        <f t="shared" si="19"/>
        <v>-7293.9789328164234</v>
      </c>
      <c r="J26" s="116">
        <f t="shared" si="19"/>
        <v>-7926.7316052382484</v>
      </c>
      <c r="O26" s="102" t="s">
        <v>55</v>
      </c>
      <c r="P26" s="100">
        <f>P24+P25</f>
        <v>-19970.5625</v>
      </c>
      <c r="Q26" s="100">
        <f t="shared" ref="Q26:T26" si="20">Q24+Q25</f>
        <v>11287.089195312543</v>
      </c>
      <c r="R26" s="100">
        <f t="shared" si="20"/>
        <v>27330.092485894558</v>
      </c>
      <c r="S26" s="100">
        <f t="shared" si="20"/>
        <v>46322.009677156391</v>
      </c>
      <c r="T26" s="100">
        <f t="shared" si="20"/>
        <v>631708.21936047042</v>
      </c>
    </row>
    <row r="27" spans="2:20" x14ac:dyDescent="0.4">
      <c r="B27" s="90" t="s">
        <v>92</v>
      </c>
      <c r="D27" s="124">
        <v>-2000</v>
      </c>
      <c r="E27" s="124">
        <v>-2500</v>
      </c>
      <c r="F27" s="116">
        <f t="shared" ref="F27:J27" si="21">(E27*(1+F$2))*(1+F$4)</f>
        <v>-2652.1874999999995</v>
      </c>
      <c r="G27" s="116">
        <f t="shared" si="21"/>
        <v>-2813.6394140624993</v>
      </c>
      <c r="H27" s="116">
        <f t="shared" si="21"/>
        <v>-3203.3284729101551</v>
      </c>
      <c r="I27" s="116">
        <f t="shared" si="21"/>
        <v>-3646.9894664082117</v>
      </c>
      <c r="J27" s="116">
        <f t="shared" si="21"/>
        <v>-3963.3658026191242</v>
      </c>
      <c r="O27" s="103" t="s">
        <v>56</v>
      </c>
      <c r="P27" s="104">
        <f>NPV(P33,P26:T26)</f>
        <v>368847.37091838487</v>
      </c>
    </row>
    <row r="28" spans="2:20" x14ac:dyDescent="0.4">
      <c r="B28" s="90" t="s">
        <v>93</v>
      </c>
      <c r="D28" s="124">
        <v>-1000</v>
      </c>
      <c r="E28" s="124">
        <v>-1500</v>
      </c>
      <c r="F28" s="116">
        <f t="shared" ref="F28:J28" si="22">(E28*(1+F$2))*(1+F$4)</f>
        <v>-1591.3124999999995</v>
      </c>
      <c r="G28" s="116">
        <f t="shared" si="22"/>
        <v>-1688.1836484374992</v>
      </c>
      <c r="H28" s="116">
        <f t="shared" si="22"/>
        <v>-1921.9970837460928</v>
      </c>
      <c r="I28" s="116">
        <f t="shared" si="22"/>
        <v>-2188.1936798449265</v>
      </c>
      <c r="J28" s="116">
        <f t="shared" si="22"/>
        <v>-2378.0194815714735</v>
      </c>
    </row>
    <row r="29" spans="2:20" x14ac:dyDescent="0.4">
      <c r="B29" s="90" t="s">
        <v>94</v>
      </c>
      <c r="D29" s="124">
        <v>-5000</v>
      </c>
      <c r="E29" s="124">
        <v>-5500</v>
      </c>
      <c r="F29" s="116">
        <f t="shared" ref="F29:J29" si="23">(E29*(1+F$2))*(1+F$4)</f>
        <v>-5834.8124999999991</v>
      </c>
      <c r="G29" s="116">
        <f t="shared" si="23"/>
        <v>-6190.0067109374986</v>
      </c>
      <c r="H29" s="116">
        <f t="shared" si="23"/>
        <v>-7047.3226404023417</v>
      </c>
      <c r="I29" s="116">
        <f t="shared" si="23"/>
        <v>-8023.376826098066</v>
      </c>
      <c r="J29" s="116">
        <f t="shared" si="23"/>
        <v>-8719.4047657620722</v>
      </c>
    </row>
    <row r="30" spans="2:20" x14ac:dyDescent="0.4">
      <c r="B30" s="90" t="s">
        <v>95</v>
      </c>
      <c r="D30" s="124">
        <v>-15000</v>
      </c>
      <c r="E30" s="124">
        <v>-12500</v>
      </c>
      <c r="F30" s="116">
        <f t="shared" ref="F30:J30" si="24">(E30*(1+F$2))*(1+F$4)</f>
        <v>-13260.937499999996</v>
      </c>
      <c r="G30" s="116">
        <f t="shared" si="24"/>
        <v>-14068.197070312493</v>
      </c>
      <c r="H30" s="116">
        <f t="shared" si="24"/>
        <v>-16016.642364550773</v>
      </c>
      <c r="I30" s="116">
        <f t="shared" si="24"/>
        <v>-18234.947332041054</v>
      </c>
      <c r="J30" s="116">
        <f t="shared" si="24"/>
        <v>-19816.829013095616</v>
      </c>
      <c r="O30" s="95">
        <f>P37+P27</f>
        <v>418847.37091838487</v>
      </c>
    </row>
    <row r="31" spans="2:20" x14ac:dyDescent="0.4">
      <c r="B31" s="112" t="s">
        <v>107</v>
      </c>
      <c r="C31" s="112"/>
      <c r="D31" s="117">
        <f>SUM(D23:D30)</f>
        <v>-158000</v>
      </c>
      <c r="E31" s="117">
        <f t="shared" ref="E31:J31" si="25">SUM(E23:E30)</f>
        <v>-159500</v>
      </c>
      <c r="F31" s="117">
        <f t="shared" si="25"/>
        <v>-169209.56249999997</v>
      </c>
      <c r="G31" s="117">
        <f t="shared" si="25"/>
        <v>-179510.19461718743</v>
      </c>
      <c r="H31" s="117">
        <f t="shared" si="25"/>
        <v>-204372.35657166786</v>
      </c>
      <c r="I31" s="117">
        <f t="shared" si="25"/>
        <v>-232677.92795684387</v>
      </c>
      <c r="J31" s="117">
        <f t="shared" si="25"/>
        <v>-252862.73820710008</v>
      </c>
    </row>
    <row r="32" spans="2:20" x14ac:dyDescent="0.4">
      <c r="B32" s="112" t="s">
        <v>96</v>
      </c>
      <c r="C32" s="112"/>
      <c r="D32" s="117">
        <f>D21+D31</f>
        <v>27000</v>
      </c>
      <c r="E32" s="117">
        <f t="shared" ref="E32:J32" si="26">E21+E31</f>
        <v>30500</v>
      </c>
      <c r="F32" s="117">
        <f t="shared" si="26"/>
        <v>37272.9375</v>
      </c>
      <c r="G32" s="117">
        <f t="shared" si="26"/>
        <v>44884.662257812539</v>
      </c>
      <c r="H32" s="117">
        <f t="shared" si="26"/>
        <v>62713.621823800815</v>
      </c>
      <c r="I32" s="117">
        <f t="shared" si="26"/>
        <v>85221.157828362659</v>
      </c>
      <c r="J32" s="117">
        <f t="shared" si="26"/>
        <v>109065.37095935759</v>
      </c>
      <c r="R32" s="105"/>
      <c r="S32" s="105"/>
    </row>
    <row r="33" spans="2:20" x14ac:dyDescent="0.4">
      <c r="D33" s="115"/>
      <c r="E33" s="115"/>
      <c r="F33" s="115"/>
      <c r="G33" s="115"/>
      <c r="H33" s="115"/>
      <c r="I33" s="115"/>
      <c r="J33" s="115"/>
      <c r="N33" s="106" t="s">
        <v>57</v>
      </c>
      <c r="O33" s="95" t="s">
        <v>58</v>
      </c>
      <c r="P33" s="127">
        <f>Q33</f>
        <v>0.13766666666666666</v>
      </c>
      <c r="Q33" s="108">
        <f>Q34*(Q35/(Q35+Q37))+Q39*(Q37/(Q37+Q35))</f>
        <v>0.13766666666666666</v>
      </c>
      <c r="R33" s="107" t="s">
        <v>127</v>
      </c>
      <c r="S33" s="107"/>
      <c r="T33" s="108"/>
    </row>
    <row r="34" spans="2:20" x14ac:dyDescent="0.4">
      <c r="B34" s="90" t="s">
        <v>97</v>
      </c>
      <c r="D34" s="124">
        <v>-15000</v>
      </c>
      <c r="E34" s="124">
        <v>-16000</v>
      </c>
      <c r="F34" s="116">
        <f t="shared" ref="F34:J34" si="27">(E34*(1+F$2))*(1+F$4)</f>
        <v>-16974</v>
      </c>
      <c r="G34" s="116">
        <f t="shared" si="27"/>
        <v>-18007.292249999999</v>
      </c>
      <c r="H34" s="116">
        <f t="shared" si="27"/>
        <v>-20501.302226625001</v>
      </c>
      <c r="I34" s="116">
        <f t="shared" si="27"/>
        <v>-23340.732585012564</v>
      </c>
      <c r="J34" s="116">
        <f t="shared" si="27"/>
        <v>-25365.541136762404</v>
      </c>
      <c r="N34" s="106" t="s">
        <v>59</v>
      </c>
      <c r="O34" s="95" t="s">
        <v>60</v>
      </c>
      <c r="P34" s="109">
        <f>Q34</f>
        <v>0.127</v>
      </c>
      <c r="Q34" s="108">
        <v>0.127</v>
      </c>
      <c r="R34" s="90" t="s">
        <v>125</v>
      </c>
    </row>
    <row r="35" spans="2:20" x14ac:dyDescent="0.4">
      <c r="B35" s="90" t="s">
        <v>98</v>
      </c>
      <c r="D35" s="124">
        <v>-2500</v>
      </c>
      <c r="E35" s="124">
        <v>-3500</v>
      </c>
      <c r="F35" s="116">
        <f t="shared" ref="F35:J35" si="28">(E35*(1+F$2))*(1+F$4)</f>
        <v>-3713.0624999999991</v>
      </c>
      <c r="G35" s="116">
        <f t="shared" si="28"/>
        <v>-3939.0951796874983</v>
      </c>
      <c r="H35" s="116">
        <f t="shared" si="28"/>
        <v>-4484.659862074217</v>
      </c>
      <c r="I35" s="116">
        <f t="shared" si="28"/>
        <v>-5105.7852529714964</v>
      </c>
      <c r="J35" s="116">
        <f t="shared" si="28"/>
        <v>-5548.7121236667736</v>
      </c>
      <c r="N35" s="106" t="s">
        <v>61</v>
      </c>
      <c r="O35" s="95" t="s">
        <v>62</v>
      </c>
      <c r="P35" s="120">
        <v>25000</v>
      </c>
      <c r="Q35" s="90">
        <v>25000</v>
      </c>
    </row>
    <row r="36" spans="2:20" x14ac:dyDescent="0.4">
      <c r="B36" s="90" t="s">
        <v>99</v>
      </c>
      <c r="D36" s="124">
        <v>-1500</v>
      </c>
      <c r="E36" s="124">
        <v>-2500</v>
      </c>
      <c r="F36" s="116">
        <f t="shared" ref="F36:J36" si="29">(E36*(1+F$2))*(1+F$4)</f>
        <v>-2652.1874999999995</v>
      </c>
      <c r="G36" s="116">
        <f t="shared" si="29"/>
        <v>-2813.6394140624993</v>
      </c>
      <c r="H36" s="116">
        <f t="shared" si="29"/>
        <v>-3203.3284729101551</v>
      </c>
      <c r="I36" s="116">
        <f t="shared" si="29"/>
        <v>-3646.9894664082117</v>
      </c>
      <c r="J36" s="116">
        <f t="shared" si="29"/>
        <v>-3963.3658026191242</v>
      </c>
      <c r="N36" s="106" t="s">
        <v>63</v>
      </c>
      <c r="O36" s="95" t="s">
        <v>64</v>
      </c>
      <c r="P36" s="121">
        <v>0.13750000000000001</v>
      </c>
      <c r="Q36" s="108">
        <f>Q39</f>
        <v>0.14300000000000002</v>
      </c>
    </row>
    <row r="37" spans="2:20" x14ac:dyDescent="0.4">
      <c r="B37" s="112" t="s">
        <v>100</v>
      </c>
      <c r="C37" s="112"/>
      <c r="D37" s="117">
        <f>D32+D34+D35+D36</f>
        <v>8000</v>
      </c>
      <c r="E37" s="117">
        <f t="shared" ref="E37:J37" si="30">E32+E34+E35+E36</f>
        <v>8500</v>
      </c>
      <c r="F37" s="117">
        <f t="shared" si="30"/>
        <v>13933.6875</v>
      </c>
      <c r="G37" s="117">
        <f t="shared" si="30"/>
        <v>20124.635414062544</v>
      </c>
      <c r="H37" s="117">
        <f t="shared" si="30"/>
        <v>34524.331262191437</v>
      </c>
      <c r="I37" s="117">
        <f t="shared" si="30"/>
        <v>53127.650523970391</v>
      </c>
      <c r="J37" s="117">
        <f t="shared" si="30"/>
        <v>74187.751896309288</v>
      </c>
      <c r="N37" s="106" t="s">
        <v>65</v>
      </c>
      <c r="O37" s="95" t="s">
        <v>66</v>
      </c>
      <c r="P37" s="120">
        <v>50000</v>
      </c>
      <c r="Q37" s="90">
        <f>P37</f>
        <v>50000</v>
      </c>
    </row>
    <row r="38" spans="2:20" x14ac:dyDescent="0.4">
      <c r="D38" s="115"/>
      <c r="E38" s="115"/>
      <c r="F38" s="115"/>
      <c r="G38" s="115"/>
      <c r="H38" s="115"/>
      <c r="I38" s="115"/>
      <c r="J38" s="115"/>
      <c r="N38" s="110"/>
    </row>
    <row r="39" spans="2:20" x14ac:dyDescent="0.4">
      <c r="B39" s="119" t="s">
        <v>8</v>
      </c>
      <c r="D39" s="124">
        <v>-10000</v>
      </c>
      <c r="E39" s="124">
        <v>-12500</v>
      </c>
      <c r="F39" s="116">
        <f>(E39*(1+F$5))</f>
        <v>-13750.000000000002</v>
      </c>
      <c r="G39" s="116">
        <f t="shared" ref="G39:J39" si="31">(F39*(1+G$5))</f>
        <v>-15262.500000000004</v>
      </c>
      <c r="H39" s="116">
        <f t="shared" si="31"/>
        <v>-17094.000000000007</v>
      </c>
      <c r="I39" s="116">
        <f t="shared" si="31"/>
        <v>-19658.100000000006</v>
      </c>
      <c r="J39" s="116">
        <f t="shared" si="31"/>
        <v>-21623.910000000007</v>
      </c>
      <c r="N39" s="106" t="s">
        <v>63</v>
      </c>
      <c r="O39" s="95" t="s">
        <v>64</v>
      </c>
      <c r="P39" s="121">
        <f>P40*(1+P41)</f>
        <v>0.182</v>
      </c>
      <c r="Q39" s="107">
        <f>Q40*(1+Q41)</f>
        <v>0.14300000000000002</v>
      </c>
    </row>
    <row r="40" spans="2:20" x14ac:dyDescent="0.4">
      <c r="B40" s="90" t="s">
        <v>9</v>
      </c>
      <c r="D40" s="124">
        <v>2500</v>
      </c>
      <c r="E40" s="124">
        <v>1500</v>
      </c>
      <c r="F40" s="116">
        <f t="shared" ref="F40:J40" si="32">(E40*(1+F$2))*(1+F$3)</f>
        <v>1630.1249999999998</v>
      </c>
      <c r="G40" s="116">
        <f t="shared" si="32"/>
        <v>1771.5383437499997</v>
      </c>
      <c r="H40" s="116">
        <f t="shared" si="32"/>
        <v>2108.5735136484368</v>
      </c>
      <c r="I40" s="116">
        <f t="shared" si="32"/>
        <v>2509.7296246200513</v>
      </c>
      <c r="J40" s="116">
        <f t="shared" si="32"/>
        <v>2857.327177629928</v>
      </c>
      <c r="N40" s="106" t="s">
        <v>67</v>
      </c>
      <c r="O40" s="95" t="s">
        <v>68</v>
      </c>
      <c r="P40" s="121">
        <v>0.17499999999999999</v>
      </c>
      <c r="Q40" s="108">
        <v>0.13750000000000001</v>
      </c>
    </row>
    <row r="41" spans="2:20" x14ac:dyDescent="0.4">
      <c r="B41" s="112" t="s">
        <v>101</v>
      </c>
      <c r="C41" s="112"/>
      <c r="D41" s="117">
        <f>D37+D39+D40</f>
        <v>500</v>
      </c>
      <c r="E41" s="117">
        <f t="shared" ref="E41:J41" si="33">E37+E39+E40</f>
        <v>-2500</v>
      </c>
      <c r="F41" s="117">
        <f t="shared" si="33"/>
        <v>1813.812499999998</v>
      </c>
      <c r="G41" s="117">
        <f t="shared" si="33"/>
        <v>6633.6737578125403</v>
      </c>
      <c r="H41" s="117">
        <f t="shared" si="33"/>
        <v>19538.904775839866</v>
      </c>
      <c r="I41" s="117">
        <f t="shared" si="33"/>
        <v>35979.280148590435</v>
      </c>
      <c r="J41" s="117">
        <f t="shared" si="33"/>
        <v>55421.169073939214</v>
      </c>
      <c r="N41" s="106" t="s">
        <v>69</v>
      </c>
      <c r="O41" s="95" t="s">
        <v>70</v>
      </c>
      <c r="P41" s="95">
        <f>Q41</f>
        <v>0.04</v>
      </c>
      <c r="Q41" s="128">
        <v>0.04</v>
      </c>
    </row>
    <row r="42" spans="2:20" x14ac:dyDescent="0.4">
      <c r="D42" s="115"/>
      <c r="E42" s="115"/>
      <c r="F42" s="115"/>
      <c r="G42" s="115"/>
      <c r="H42" s="115"/>
      <c r="I42" s="115"/>
      <c r="J42" s="115"/>
      <c r="N42" s="110"/>
    </row>
    <row r="43" spans="2:20" x14ac:dyDescent="0.4">
      <c r="B43" s="90" t="s">
        <v>102</v>
      </c>
      <c r="D43" s="124">
        <v>0</v>
      </c>
      <c r="E43" s="124">
        <v>0</v>
      </c>
      <c r="F43" s="116">
        <f t="shared" ref="F43:J43" si="34">(E43*(1+F$2))*(1+F$3)</f>
        <v>0</v>
      </c>
      <c r="G43" s="116">
        <f t="shared" si="34"/>
        <v>0</v>
      </c>
      <c r="H43" s="116">
        <f t="shared" si="34"/>
        <v>0</v>
      </c>
      <c r="I43" s="116">
        <f t="shared" si="34"/>
        <v>0</v>
      </c>
      <c r="J43" s="116">
        <f t="shared" si="34"/>
        <v>0</v>
      </c>
      <c r="N43" s="106" t="s">
        <v>71</v>
      </c>
      <c r="O43" s="95" t="s">
        <v>10</v>
      </c>
      <c r="P43" s="95">
        <f>T24/(P33-P44)</f>
        <v>567742.55784344254</v>
      </c>
    </row>
    <row r="44" spans="2:20" x14ac:dyDescent="0.4">
      <c r="D44" s="115"/>
      <c r="E44" s="115"/>
      <c r="F44" s="115"/>
      <c r="G44" s="115"/>
      <c r="H44" s="115"/>
      <c r="I44" s="115"/>
      <c r="J44" s="115"/>
      <c r="N44" s="106" t="s">
        <v>72</v>
      </c>
      <c r="O44" s="95" t="s">
        <v>73</v>
      </c>
      <c r="P44" s="121">
        <v>2.5000000000000001E-2</v>
      </c>
      <c r="Q44" s="90" t="s">
        <v>128</v>
      </c>
    </row>
    <row r="45" spans="2:20" x14ac:dyDescent="0.4">
      <c r="B45" s="112" t="s">
        <v>103</v>
      </c>
      <c r="C45" s="112"/>
      <c r="D45" s="117">
        <f>D41+D43</f>
        <v>500</v>
      </c>
      <c r="E45" s="117">
        <f t="shared" ref="E45:J45" si="35">E41+E43</f>
        <v>-2500</v>
      </c>
      <c r="F45" s="117">
        <f t="shared" si="35"/>
        <v>1813.812499999998</v>
      </c>
      <c r="G45" s="117">
        <f t="shared" si="35"/>
        <v>6633.6737578125403</v>
      </c>
      <c r="H45" s="117">
        <f t="shared" si="35"/>
        <v>19538.904775839866</v>
      </c>
      <c r="I45" s="117">
        <f t="shared" si="35"/>
        <v>35979.280148590435</v>
      </c>
      <c r="J45" s="117">
        <f t="shared" si="35"/>
        <v>55421.169073939214</v>
      </c>
      <c r="O45" s="95" t="s">
        <v>74</v>
      </c>
      <c r="P45" s="111" t="s">
        <v>23</v>
      </c>
    </row>
    <row r="46" spans="2:20" x14ac:dyDescent="0.4">
      <c r="B46" s="90" t="s">
        <v>104</v>
      </c>
      <c r="D46" s="124">
        <v>0</v>
      </c>
      <c r="E46" s="124">
        <v>0</v>
      </c>
      <c r="F46" s="116">
        <f t="shared" ref="F46:J46" si="36">(E46*(1+F$2))*(1+F$3)</f>
        <v>0</v>
      </c>
      <c r="G46" s="116">
        <f t="shared" si="36"/>
        <v>0</v>
      </c>
      <c r="H46" s="116">
        <f t="shared" si="36"/>
        <v>0</v>
      </c>
      <c r="I46" s="116">
        <f t="shared" si="36"/>
        <v>0</v>
      </c>
      <c r="J46" s="116">
        <f t="shared" si="36"/>
        <v>0</v>
      </c>
    </row>
    <row r="47" spans="2:20" x14ac:dyDescent="0.4">
      <c r="D47" s="115"/>
      <c r="E47" s="115"/>
      <c r="F47" s="115"/>
      <c r="G47" s="115"/>
      <c r="H47" s="115"/>
      <c r="I47" s="115"/>
      <c r="J47" s="115"/>
    </row>
    <row r="48" spans="2:20" x14ac:dyDescent="0.4">
      <c r="B48" s="112" t="s">
        <v>105</v>
      </c>
      <c r="C48" s="112"/>
      <c r="D48" s="117">
        <f>D45+D46</f>
        <v>500</v>
      </c>
      <c r="E48" s="117">
        <f t="shared" ref="E48:J48" si="37">E45+E46</f>
        <v>-2500</v>
      </c>
      <c r="F48" s="117">
        <f t="shared" si="37"/>
        <v>1813.812499999998</v>
      </c>
      <c r="G48" s="117">
        <f t="shared" si="37"/>
        <v>6633.6737578125403</v>
      </c>
      <c r="H48" s="117">
        <f t="shared" si="37"/>
        <v>19538.904775839866</v>
      </c>
      <c r="I48" s="117">
        <f t="shared" si="37"/>
        <v>35979.280148590435</v>
      </c>
      <c r="J48" s="117">
        <f t="shared" si="37"/>
        <v>55421.169073939214</v>
      </c>
    </row>
    <row r="49" spans="2:16" x14ac:dyDescent="0.4">
      <c r="O49" s="112" t="s">
        <v>126</v>
      </c>
    </row>
    <row r="51" spans="2:16" x14ac:dyDescent="0.4">
      <c r="B51" s="112" t="s">
        <v>51</v>
      </c>
      <c r="O51" s="125" t="s">
        <v>75</v>
      </c>
      <c r="P51" s="126">
        <f>P27</f>
        <v>368847.37091838487</v>
      </c>
    </row>
    <row r="52" spans="2:16" x14ac:dyDescent="0.4">
      <c r="O52" s="112" t="s">
        <v>41</v>
      </c>
      <c r="P52" s="117">
        <f>-P37</f>
        <v>-50000</v>
      </c>
    </row>
    <row r="53" spans="2:16" x14ac:dyDescent="0.4">
      <c r="B53" s="90" t="s">
        <v>108</v>
      </c>
      <c r="C53" s="124">
        <v>2500</v>
      </c>
      <c r="D53" s="124">
        <v>10000</v>
      </c>
      <c r="E53" s="124">
        <v>12000</v>
      </c>
      <c r="F53" s="116">
        <f t="shared" ref="F53:J53" si="38">(E53*(1+F$2))*(1+F$4)</f>
        <v>12730.499999999996</v>
      </c>
      <c r="G53" s="116">
        <f t="shared" si="38"/>
        <v>13505.469187499993</v>
      </c>
      <c r="H53" s="116">
        <f t="shared" si="38"/>
        <v>15375.976669968742</v>
      </c>
      <c r="I53" s="116">
        <f t="shared" si="38"/>
        <v>17505.549438759412</v>
      </c>
      <c r="J53" s="116">
        <f t="shared" si="38"/>
        <v>19024.155852571788</v>
      </c>
      <c r="O53" s="125" t="s">
        <v>76</v>
      </c>
      <c r="P53" s="126">
        <f>P51+P52</f>
        <v>318847.37091838487</v>
      </c>
    </row>
    <row r="54" spans="2:16" x14ac:dyDescent="0.4">
      <c r="B54" s="90" t="s">
        <v>109</v>
      </c>
      <c r="C54" s="124">
        <v>1000</v>
      </c>
      <c r="D54" s="124">
        <v>2500</v>
      </c>
      <c r="E54" s="124">
        <v>3500</v>
      </c>
      <c r="F54" s="116">
        <f t="shared" ref="F54:J54" si="39">(E54*(1+F$2))*(1+F$4)</f>
        <v>3713.0624999999991</v>
      </c>
      <c r="G54" s="116">
        <f t="shared" si="39"/>
        <v>3939.0951796874983</v>
      </c>
      <c r="H54" s="116">
        <f t="shared" si="39"/>
        <v>4484.659862074217</v>
      </c>
      <c r="I54" s="116">
        <f t="shared" si="39"/>
        <v>5105.7852529714964</v>
      </c>
      <c r="J54" s="116">
        <f t="shared" si="39"/>
        <v>5548.7121236667736</v>
      </c>
    </row>
    <row r="55" spans="2:16" x14ac:dyDescent="0.4">
      <c r="B55" s="90" t="s">
        <v>110</v>
      </c>
      <c r="C55" s="124">
        <v>1000</v>
      </c>
      <c r="D55" s="124">
        <v>2000</v>
      </c>
      <c r="E55" s="124">
        <v>3000</v>
      </c>
      <c r="F55" s="116">
        <f t="shared" ref="F55:J55" si="40">(E55*(1+F$2))*(1+F$4)</f>
        <v>3182.6249999999991</v>
      </c>
      <c r="G55" s="116">
        <f t="shared" si="40"/>
        <v>3376.3672968749984</v>
      </c>
      <c r="H55" s="116">
        <f t="shared" si="40"/>
        <v>3843.9941674921856</v>
      </c>
      <c r="I55" s="116">
        <f t="shared" si="40"/>
        <v>4376.3873596898529</v>
      </c>
      <c r="J55" s="116">
        <f t="shared" si="40"/>
        <v>4756.0389631429471</v>
      </c>
    </row>
    <row r="56" spans="2:16" x14ac:dyDescent="0.4">
      <c r="C56" s="115"/>
      <c r="D56" s="115"/>
      <c r="E56" s="115"/>
    </row>
    <row r="57" spans="2:16" x14ac:dyDescent="0.4">
      <c r="B57" s="90" t="s">
        <v>111</v>
      </c>
      <c r="C57" s="124">
        <v>2000</v>
      </c>
      <c r="D57" s="124">
        <v>2500</v>
      </c>
      <c r="E57" s="124">
        <v>3000</v>
      </c>
      <c r="F57" s="116">
        <f t="shared" ref="F57:J57" si="41">(E57*(1+F$2))*(1+F$4)</f>
        <v>3182.6249999999991</v>
      </c>
      <c r="G57" s="116">
        <f t="shared" si="41"/>
        <v>3376.3672968749984</v>
      </c>
      <c r="H57" s="116">
        <f t="shared" si="41"/>
        <v>3843.9941674921856</v>
      </c>
      <c r="I57" s="116">
        <f t="shared" si="41"/>
        <v>4376.3873596898529</v>
      </c>
      <c r="J57" s="116">
        <f t="shared" si="41"/>
        <v>4756.0389631429471</v>
      </c>
    </row>
    <row r="58" spans="2:16" x14ac:dyDescent="0.4">
      <c r="B58" s="90" t="s">
        <v>112</v>
      </c>
      <c r="C58" s="124">
        <v>2500</v>
      </c>
      <c r="D58" s="124">
        <v>15000</v>
      </c>
      <c r="E58" s="124">
        <v>17500</v>
      </c>
      <c r="F58" s="116">
        <f t="shared" ref="F58:J58" si="42">(E58*(1+F$2))*(1+F$4)</f>
        <v>18565.3125</v>
      </c>
      <c r="G58" s="116">
        <f t="shared" si="42"/>
        <v>19695.475898437497</v>
      </c>
      <c r="H58" s="116">
        <f t="shared" si="42"/>
        <v>22423.299310371091</v>
      </c>
      <c r="I58" s="116">
        <f t="shared" si="42"/>
        <v>25528.926264857488</v>
      </c>
      <c r="J58" s="116">
        <f t="shared" si="42"/>
        <v>27743.560618333875</v>
      </c>
    </row>
    <row r="59" spans="2:16" x14ac:dyDescent="0.4">
      <c r="B59" s="90" t="s">
        <v>113</v>
      </c>
      <c r="C59" s="124">
        <v>3000</v>
      </c>
      <c r="D59" s="124">
        <v>5000</v>
      </c>
      <c r="E59" s="124">
        <v>5500</v>
      </c>
      <c r="F59" s="116">
        <f t="shared" ref="F59:J59" si="43">(E59*(1+F$2))*(1+F$4)</f>
        <v>5834.8124999999991</v>
      </c>
      <c r="G59" s="116">
        <f t="shared" si="43"/>
        <v>6190.0067109374986</v>
      </c>
      <c r="H59" s="116">
        <f t="shared" si="43"/>
        <v>7047.3226404023417</v>
      </c>
      <c r="I59" s="116">
        <f t="shared" si="43"/>
        <v>8023.376826098066</v>
      </c>
      <c r="J59" s="116">
        <f t="shared" si="43"/>
        <v>8719.4047657620722</v>
      </c>
    </row>
    <row r="60" spans="2:16" x14ac:dyDescent="0.4">
      <c r="B60" s="90" t="s">
        <v>114</v>
      </c>
      <c r="C60" s="124">
        <v>3000</v>
      </c>
      <c r="D60" s="124">
        <v>4500</v>
      </c>
      <c r="E60" s="124">
        <v>5500</v>
      </c>
      <c r="F60" s="116">
        <f t="shared" ref="F60:J60" si="44">(E60*(1+F$2))*(1+F$4)</f>
        <v>5834.8124999999991</v>
      </c>
      <c r="G60" s="116">
        <f t="shared" si="44"/>
        <v>6190.0067109374986</v>
      </c>
      <c r="H60" s="116">
        <f t="shared" si="44"/>
        <v>7047.3226404023417</v>
      </c>
      <c r="I60" s="116">
        <f t="shared" si="44"/>
        <v>8023.376826098066</v>
      </c>
      <c r="J60" s="116">
        <f t="shared" si="44"/>
        <v>8719.4047657620722</v>
      </c>
    </row>
    <row r="61" spans="2:16" x14ac:dyDescent="0.4">
      <c r="B61" s="90" t="s">
        <v>115</v>
      </c>
      <c r="C61" s="124">
        <v>2000</v>
      </c>
      <c r="D61" s="124">
        <v>4000</v>
      </c>
      <c r="E61" s="124">
        <v>5000</v>
      </c>
      <c r="F61" s="116">
        <f t="shared" ref="F61:J61" si="45">(E61*(1+F$2))*(1+F$4)</f>
        <v>5304.3749999999991</v>
      </c>
      <c r="G61" s="116">
        <f t="shared" si="45"/>
        <v>5627.2788281249987</v>
      </c>
      <c r="H61" s="116">
        <f t="shared" si="45"/>
        <v>6406.6569458203103</v>
      </c>
      <c r="I61" s="116">
        <f t="shared" si="45"/>
        <v>7293.9789328164234</v>
      </c>
      <c r="J61" s="116">
        <f t="shared" si="45"/>
        <v>7926.7316052382484</v>
      </c>
    </row>
    <row r="62" spans="2:16" x14ac:dyDescent="0.4">
      <c r="C62" s="115"/>
      <c r="D62" s="115"/>
      <c r="E62" s="115"/>
    </row>
    <row r="63" spans="2:16" x14ac:dyDescent="0.4">
      <c r="C63" s="115"/>
      <c r="D63" s="115"/>
      <c r="E63" s="115"/>
    </row>
    <row r="64" spans="2:16" x14ac:dyDescent="0.4">
      <c r="C64" s="115"/>
      <c r="D64" s="115"/>
      <c r="E64" s="115"/>
    </row>
    <row r="65" spans="2:10" x14ac:dyDescent="0.4">
      <c r="B65" s="112" t="s">
        <v>116</v>
      </c>
      <c r="C65" s="115"/>
      <c r="D65" s="115"/>
      <c r="E65" s="115"/>
    </row>
    <row r="66" spans="2:10" x14ac:dyDescent="0.4">
      <c r="C66" s="115"/>
      <c r="D66" s="115"/>
      <c r="E66" s="115"/>
    </row>
    <row r="67" spans="2:10" x14ac:dyDescent="0.4">
      <c r="B67" s="90" t="s">
        <v>117</v>
      </c>
      <c r="C67" s="115"/>
      <c r="D67" s="124">
        <v>-15000</v>
      </c>
      <c r="E67" s="124">
        <v>-10000</v>
      </c>
      <c r="F67" s="116">
        <v>-5000</v>
      </c>
      <c r="G67" s="116">
        <v>-5000</v>
      </c>
      <c r="H67" s="116">
        <v>-7500</v>
      </c>
      <c r="I67" s="116">
        <v>-7500</v>
      </c>
      <c r="J67" s="116">
        <v>-10000</v>
      </c>
    </row>
    <row r="68" spans="2:10" x14ac:dyDescent="0.4">
      <c r="B68" s="90" t="s">
        <v>118</v>
      </c>
      <c r="C68" s="115"/>
      <c r="D68" s="124">
        <v>-2500</v>
      </c>
      <c r="E68" s="124">
        <v>-2500</v>
      </c>
      <c r="F68" s="116">
        <v>-30000</v>
      </c>
      <c r="G68" s="116">
        <v>-5000</v>
      </c>
      <c r="H68" s="116">
        <v>-2500</v>
      </c>
      <c r="I68" s="116">
        <v>-2500</v>
      </c>
      <c r="J68" s="116">
        <v>-2500</v>
      </c>
    </row>
  </sheetData>
  <mergeCells count="2">
    <mergeCell ref="F7:J7"/>
    <mergeCell ref="D7:E7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18AD9-0CAF-4862-8CED-A1A4EF840FDF}">
  <dimension ref="D2:O27"/>
  <sheetViews>
    <sheetView showGridLines="0" workbookViewId="0">
      <selection activeCell="O3" sqref="O3"/>
    </sheetView>
  </sheetViews>
  <sheetFormatPr defaultRowHeight="14.4" x14ac:dyDescent="0.3"/>
  <cols>
    <col min="3" max="3" width="1.109375" customWidth="1"/>
    <col min="4" max="4" width="24.109375" customWidth="1"/>
    <col min="11" max="12" width="0" hidden="1" customWidth="1"/>
  </cols>
  <sheetData>
    <row r="2" spans="4:15" x14ac:dyDescent="0.3">
      <c r="O2" t="s">
        <v>131</v>
      </c>
    </row>
    <row r="3" spans="4:15" ht="15" thickBot="1" x14ac:dyDescent="0.35">
      <c r="D3" s="5" t="s">
        <v>129</v>
      </c>
    </row>
    <row r="4" spans="4:15" ht="29.4" thickTop="1" x14ac:dyDescent="0.3">
      <c r="D4" s="35" t="s">
        <v>21</v>
      </c>
      <c r="E4" s="6">
        <v>2017</v>
      </c>
      <c r="F4" s="23">
        <v>2018</v>
      </c>
      <c r="G4" s="34">
        <v>2019</v>
      </c>
      <c r="H4" s="26">
        <v>2020</v>
      </c>
      <c r="I4" s="19" t="s">
        <v>6</v>
      </c>
      <c r="J4" s="19" t="s">
        <v>7</v>
      </c>
      <c r="K4" s="7" t="s">
        <v>24</v>
      </c>
      <c r="L4" s="7" t="s">
        <v>25</v>
      </c>
    </row>
    <row r="5" spans="4:15" x14ac:dyDescent="0.3">
      <c r="D5" s="16" t="s">
        <v>0</v>
      </c>
      <c r="E5" s="17">
        <v>117638</v>
      </c>
      <c r="F5" s="24">
        <v>148274</v>
      </c>
      <c r="G5" s="30">
        <v>183955</v>
      </c>
      <c r="H5" s="27">
        <v>163000</v>
      </c>
      <c r="I5" s="21">
        <f>AVERAGE(E5:H5)</f>
        <v>153216.75</v>
      </c>
      <c r="J5" s="21">
        <f>MEDIAN(E5:H5)</f>
        <v>155637</v>
      </c>
      <c r="K5" s="4">
        <f>AVERAGE(E5:H5)</f>
        <v>153216.75</v>
      </c>
      <c r="L5" s="4">
        <f>MEDIAN(E5:H5)</f>
        <v>155637</v>
      </c>
    </row>
    <row r="6" spans="4:15" x14ac:dyDescent="0.3">
      <c r="D6" s="16" t="s">
        <v>1</v>
      </c>
      <c r="E6" s="17">
        <v>-107739</v>
      </c>
      <c r="F6" s="24">
        <v>-93301</v>
      </c>
      <c r="G6" s="30">
        <v>-81300</v>
      </c>
      <c r="H6" s="27">
        <v>-125439</v>
      </c>
      <c r="I6" s="21">
        <f t="shared" ref="I6:I9" si="0">AVERAGE(E6:H6)</f>
        <v>-101944.75</v>
      </c>
      <c r="J6" s="21">
        <f t="shared" ref="J6:J9" si="1">MEDIAN(E6:H6)</f>
        <v>-100520</v>
      </c>
      <c r="K6" s="4">
        <f>AVERAGE(E6:G6)</f>
        <v>-94113.333333333328</v>
      </c>
      <c r="L6" s="4">
        <f t="shared" ref="L6:L9" si="2">MEDIAN(E6:G6)</f>
        <v>-93301</v>
      </c>
    </row>
    <row r="7" spans="4:15" x14ac:dyDescent="0.3">
      <c r="D7" s="16" t="s">
        <v>2</v>
      </c>
      <c r="E7" s="17">
        <v>-8692</v>
      </c>
      <c r="F7" s="24">
        <v>4481</v>
      </c>
      <c r="G7" s="30">
        <v>3881</v>
      </c>
      <c r="H7" s="27">
        <v>-49936</v>
      </c>
      <c r="I7" s="21">
        <f t="shared" si="0"/>
        <v>-12566.5</v>
      </c>
      <c r="J7" s="21">
        <f t="shared" si="1"/>
        <v>-2405.5</v>
      </c>
      <c r="K7" s="4">
        <f>AVERAGE(E7:G7)</f>
        <v>-110</v>
      </c>
      <c r="L7" s="4">
        <f t="shared" si="2"/>
        <v>3881</v>
      </c>
    </row>
    <row r="8" spans="4:15" x14ac:dyDescent="0.3">
      <c r="D8" s="16" t="s">
        <v>3</v>
      </c>
      <c r="E8" s="18">
        <v>0.39</v>
      </c>
      <c r="F8" s="25">
        <v>0.35</v>
      </c>
      <c r="G8" s="31">
        <v>0.5</v>
      </c>
      <c r="H8" s="28">
        <v>0.4</v>
      </c>
      <c r="I8" s="22">
        <f t="shared" si="0"/>
        <v>0.41000000000000003</v>
      </c>
      <c r="J8" s="22">
        <f t="shared" si="1"/>
        <v>0.39500000000000002</v>
      </c>
      <c r="K8" s="1">
        <f>AVERAGE(E8:H8)</f>
        <v>0.41000000000000003</v>
      </c>
      <c r="L8" s="1">
        <f>MEDIAN(E8:H8)</f>
        <v>0.39500000000000002</v>
      </c>
    </row>
    <row r="9" spans="4:15" ht="15" thickBot="1" x14ac:dyDescent="0.35">
      <c r="D9" s="16" t="s">
        <v>4</v>
      </c>
      <c r="E9" s="17">
        <v>54300</v>
      </c>
      <c r="F9" s="24">
        <v>62400</v>
      </c>
      <c r="G9" s="32">
        <v>81800</v>
      </c>
      <c r="H9" s="27">
        <v>91400</v>
      </c>
      <c r="I9" s="21">
        <f t="shared" si="0"/>
        <v>72475</v>
      </c>
      <c r="J9" s="21">
        <f t="shared" si="1"/>
        <v>72100</v>
      </c>
      <c r="K9" s="4">
        <f>AVERAGE(E9:G9)</f>
        <v>66166.666666666672</v>
      </c>
      <c r="L9" s="4">
        <f t="shared" si="2"/>
        <v>62400</v>
      </c>
    </row>
    <row r="10" spans="4:15" ht="15.6" thickTop="1" thickBot="1" x14ac:dyDescent="0.35">
      <c r="E10" s="2"/>
      <c r="F10" s="2"/>
      <c r="G10" s="2"/>
      <c r="H10" s="2"/>
      <c r="I10" s="2"/>
      <c r="K10" s="2"/>
    </row>
    <row r="11" spans="4:15" ht="15" hidden="1" thickBot="1" x14ac:dyDescent="0.35">
      <c r="E11" s="2"/>
      <c r="F11" s="2"/>
      <c r="G11" s="2"/>
      <c r="H11" s="2"/>
      <c r="I11" s="2"/>
      <c r="K11" s="2"/>
    </row>
    <row r="12" spans="4:15" ht="15.6" thickTop="1" thickBot="1" x14ac:dyDescent="0.35">
      <c r="D12" s="16" t="s">
        <v>5</v>
      </c>
      <c r="E12" s="17">
        <f>(E5+E6)*((E7+E5)/E5)*(E8/(E9/E5))</f>
        <v>7745.819835359117</v>
      </c>
      <c r="F12" s="24">
        <f t="shared" ref="F12:J12" si="3">(F5+F6)*((F7+F5)/F5)*(F8/(F9/F5))</f>
        <v>47100.804731570512</v>
      </c>
      <c r="G12" s="33">
        <f t="shared" si="3"/>
        <v>117862.49743276284</v>
      </c>
      <c r="H12" s="27">
        <f t="shared" si="3"/>
        <v>18585.544437636763</v>
      </c>
      <c r="I12" s="20">
        <f t="shared" si="3"/>
        <v>40795.888835874444</v>
      </c>
      <c r="J12" s="20">
        <f t="shared" si="3"/>
        <v>46269.569088384196</v>
      </c>
      <c r="K12" s="3">
        <f>(K5+K6)*((K7+K5)/K5)*(K8/(K9/K5))</f>
        <v>56072.70734945529</v>
      </c>
      <c r="L12" s="3">
        <f>(L5+L6)*((L7+L5)/L5)*(L8/(L9/L5))</f>
        <v>62944.984758974373</v>
      </c>
    </row>
    <row r="13" spans="4:15" ht="15" thickTop="1" x14ac:dyDescent="0.3"/>
    <row r="17" spans="4:10" ht="15" thickBot="1" x14ac:dyDescent="0.35">
      <c r="D17" s="74" t="s">
        <v>130</v>
      </c>
    </row>
    <row r="18" spans="4:10" ht="15" thickTop="1" x14ac:dyDescent="0.3">
      <c r="D18" s="35" t="s">
        <v>21</v>
      </c>
      <c r="E18" s="6">
        <v>2017</v>
      </c>
      <c r="F18" s="23">
        <v>2018</v>
      </c>
      <c r="G18" s="34">
        <v>2019</v>
      </c>
      <c r="H18" s="26">
        <v>2020</v>
      </c>
      <c r="I18" s="19" t="s">
        <v>6</v>
      </c>
      <c r="J18" s="19" t="s">
        <v>7</v>
      </c>
    </row>
    <row r="19" spans="4:10" x14ac:dyDescent="0.3">
      <c r="D19" s="16" t="s">
        <v>0</v>
      </c>
      <c r="E19" s="17">
        <v>117638</v>
      </c>
      <c r="F19" s="24">
        <v>148274</v>
      </c>
      <c r="G19" s="30">
        <v>183955</v>
      </c>
      <c r="H19" s="27">
        <v>163000</v>
      </c>
      <c r="I19" s="21">
        <f>AVERAGE(E19:H19)</f>
        <v>153216.75</v>
      </c>
      <c r="J19" s="21">
        <f>MEDIAN(E19:H19)</f>
        <v>155637</v>
      </c>
    </row>
    <row r="20" spans="4:10" x14ac:dyDescent="0.3">
      <c r="D20" s="36" t="s">
        <v>1</v>
      </c>
      <c r="E20" s="37">
        <v>1</v>
      </c>
      <c r="F20" s="38">
        <v>1</v>
      </c>
      <c r="G20" s="39">
        <v>1</v>
      </c>
      <c r="H20" s="40">
        <v>1</v>
      </c>
      <c r="I20" s="41">
        <f t="shared" ref="I20:I23" si="4">AVERAGE(E20:H20)</f>
        <v>1</v>
      </c>
      <c r="J20" s="41">
        <f t="shared" ref="J20:J23" si="5">MEDIAN(E20:H20)</f>
        <v>1</v>
      </c>
    </row>
    <row r="21" spans="4:10" x14ac:dyDescent="0.3">
      <c r="D21" s="16" t="s">
        <v>2</v>
      </c>
      <c r="E21" s="17">
        <v>-8692</v>
      </c>
      <c r="F21" s="24">
        <v>4481</v>
      </c>
      <c r="G21" s="30">
        <v>3881</v>
      </c>
      <c r="H21" s="27">
        <v>-49936</v>
      </c>
      <c r="I21" s="21">
        <f t="shared" si="4"/>
        <v>-12566.5</v>
      </c>
      <c r="J21" s="21">
        <f t="shared" si="5"/>
        <v>-2405.5</v>
      </c>
    </row>
    <row r="22" spans="4:10" x14ac:dyDescent="0.3">
      <c r="D22" s="16" t="s">
        <v>3</v>
      </c>
      <c r="E22" s="18">
        <v>0.39</v>
      </c>
      <c r="F22" s="25">
        <v>0.35</v>
      </c>
      <c r="G22" s="31">
        <v>0.5</v>
      </c>
      <c r="H22" s="28">
        <v>0.4</v>
      </c>
      <c r="I22" s="22">
        <f t="shared" si="4"/>
        <v>0.41000000000000003</v>
      </c>
      <c r="J22" s="22">
        <f t="shared" si="5"/>
        <v>0.39500000000000002</v>
      </c>
    </row>
    <row r="23" spans="4:10" ht="15" thickBot="1" x14ac:dyDescent="0.35">
      <c r="D23" s="16" t="s">
        <v>4</v>
      </c>
      <c r="E23" s="17">
        <v>54300</v>
      </c>
      <c r="F23" s="24">
        <v>62400</v>
      </c>
      <c r="G23" s="32">
        <v>81800</v>
      </c>
      <c r="H23" s="27">
        <v>91400</v>
      </c>
      <c r="I23" s="21">
        <f t="shared" si="4"/>
        <v>72475</v>
      </c>
      <c r="J23" s="21">
        <f t="shared" si="5"/>
        <v>72100</v>
      </c>
    </row>
    <row r="24" spans="4:10" ht="15" thickTop="1" x14ac:dyDescent="0.3">
      <c r="E24" s="2"/>
      <c r="F24" s="2"/>
      <c r="G24" s="2"/>
      <c r="H24" s="2"/>
      <c r="I24" s="2"/>
    </row>
    <row r="25" spans="4:10" ht="5.4" customHeight="1" thickBot="1" x14ac:dyDescent="0.35">
      <c r="E25" s="2"/>
      <c r="F25" s="2"/>
      <c r="G25" s="2"/>
      <c r="H25" s="2"/>
      <c r="I25" s="2"/>
    </row>
    <row r="26" spans="4:10" ht="15.6" thickTop="1" thickBot="1" x14ac:dyDescent="0.35">
      <c r="D26" s="16" t="s">
        <v>5</v>
      </c>
      <c r="E26" s="17">
        <f>(E19+E20)*((E21+E19)/E19)*(E22/(E23/E19))</f>
        <v>92050.762664088397</v>
      </c>
      <c r="F26" s="24">
        <f t="shared" ref="F26:J26" si="6">(F19+F20)*((F21+F19)/F19)*(F22/(F23/F19))</f>
        <v>127041.85366586538</v>
      </c>
      <c r="G26" s="33">
        <f t="shared" si="6"/>
        <v>211207.57466992666</v>
      </c>
      <c r="H26" s="27">
        <f t="shared" si="6"/>
        <v>80654.464175054716</v>
      </c>
      <c r="I26" s="20">
        <f t="shared" si="6"/>
        <v>121911.65346939465</v>
      </c>
      <c r="J26" s="20">
        <f t="shared" si="6"/>
        <v>130654.84684902913</v>
      </c>
    </row>
    <row r="27" spans="4:10" ht="15" thickTop="1" x14ac:dyDescent="0.3"/>
  </sheetData>
  <pageMargins left="0.511811024" right="0.511811024" top="0.78740157499999996" bottom="0.78740157499999996" header="0.31496062000000002" footer="0.31496062000000002"/>
  <ignoredErrors>
    <ignoredError sqref="K6:L7 K9:L9" formulaRange="1"/>
    <ignoredError sqref="K8:L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1C57A-69B6-4605-95EF-0A042AB5978F}">
  <dimension ref="A3:Y60"/>
  <sheetViews>
    <sheetView showGridLines="0" tabSelected="1" zoomScale="70" zoomScaleNormal="70" workbookViewId="0">
      <selection activeCell="K18" sqref="K18"/>
    </sheetView>
  </sheetViews>
  <sheetFormatPr defaultRowHeight="14.4" x14ac:dyDescent="0.3"/>
  <cols>
    <col min="2" max="2" width="1.33203125" customWidth="1"/>
    <col min="3" max="3" width="4.33203125" customWidth="1"/>
    <col min="4" max="4" width="11.109375" customWidth="1"/>
    <col min="5" max="10" width="9.77734375" customWidth="1"/>
    <col min="11" max="11" width="13" customWidth="1"/>
    <col min="21" max="21" width="2" customWidth="1"/>
    <col min="22" max="22" width="14.21875" customWidth="1"/>
    <col min="23" max="25" width="10.77734375" customWidth="1"/>
  </cols>
  <sheetData>
    <row r="3" spans="1:7" x14ac:dyDescent="0.3">
      <c r="D3" s="5"/>
      <c r="E3" s="84" t="s">
        <v>11</v>
      </c>
      <c r="F3" s="85"/>
      <c r="G3" s="86"/>
    </row>
    <row r="4" spans="1:7" x14ac:dyDescent="0.3">
      <c r="C4" s="78" t="s">
        <v>12</v>
      </c>
      <c r="D4" s="14" t="s">
        <v>18</v>
      </c>
      <c r="E4" s="15" t="s">
        <v>16</v>
      </c>
      <c r="F4" s="15" t="s">
        <v>6</v>
      </c>
      <c r="G4" s="15" t="s">
        <v>17</v>
      </c>
    </row>
    <row r="5" spans="1:7" x14ac:dyDescent="0.3">
      <c r="C5" s="76"/>
      <c r="D5" s="9">
        <v>418699.76499850757</v>
      </c>
      <c r="E5" s="83">
        <v>3.3988203177062872</v>
      </c>
      <c r="F5" s="83">
        <v>3.7452589697087921</v>
      </c>
      <c r="G5" s="83">
        <v>4.0916976217112966</v>
      </c>
    </row>
    <row r="6" spans="1:7" x14ac:dyDescent="0.3">
      <c r="C6" s="76"/>
      <c r="D6" s="9">
        <v>393789.55400744936</v>
      </c>
      <c r="E6" s="83"/>
      <c r="F6" s="83"/>
      <c r="G6" s="83"/>
    </row>
    <row r="7" spans="1:7" x14ac:dyDescent="0.3">
      <c r="C7" s="77"/>
      <c r="D7" s="9">
        <v>368879.34301639115</v>
      </c>
      <c r="E7" s="83"/>
      <c r="F7" s="83"/>
      <c r="G7" s="83"/>
    </row>
    <row r="8" spans="1:7" x14ac:dyDescent="0.3">
      <c r="A8">
        <f>(D7/D9)-1</f>
        <v>0.23592421719581136</v>
      </c>
      <c r="C8" s="79" t="s">
        <v>29</v>
      </c>
      <c r="D8" s="80"/>
      <c r="E8" s="10">
        <v>2.9274892114075883</v>
      </c>
      <c r="F8" s="10">
        <v>3.2258855140507228</v>
      </c>
      <c r="G8" s="10">
        <v>3.5242818166938572</v>
      </c>
    </row>
    <row r="9" spans="1:7" x14ac:dyDescent="0.3">
      <c r="C9" s="78" t="s">
        <v>13</v>
      </c>
      <c r="D9" s="11">
        <v>298464.37013212795</v>
      </c>
      <c r="E9" s="83">
        <v>2.3686640092300877</v>
      </c>
      <c r="F9" s="83">
        <v>2.610099769199389</v>
      </c>
      <c r="G9" s="83">
        <v>2.8515355291686904</v>
      </c>
    </row>
    <row r="10" spans="1:7" x14ac:dyDescent="0.3">
      <c r="C10" s="76"/>
      <c r="D10" s="11">
        <v>274797.94388604822</v>
      </c>
      <c r="E10" s="83"/>
      <c r="F10" s="83"/>
      <c r="G10" s="83"/>
    </row>
    <row r="11" spans="1:7" x14ac:dyDescent="0.3">
      <c r="C11" s="77"/>
      <c r="D11" s="11">
        <v>251131.51763996849</v>
      </c>
      <c r="E11" s="83"/>
      <c r="F11" s="83"/>
      <c r="G11" s="83"/>
    </row>
    <row r="12" spans="1:7" x14ac:dyDescent="0.3">
      <c r="A12">
        <f>(D11/D13)-1</f>
        <v>0.21681980430723957</v>
      </c>
      <c r="C12" s="79" t="s">
        <v>30</v>
      </c>
      <c r="D12" s="80"/>
      <c r="E12" s="10">
        <v>1.9822614410421855</v>
      </c>
      <c r="F12" s="10">
        <v>2.1843115400055346</v>
      </c>
      <c r="G12" s="10">
        <v>2.3863616389688835</v>
      </c>
    </row>
    <row r="13" spans="1:7" x14ac:dyDescent="0.3">
      <c r="C13" s="78" t="s">
        <v>14</v>
      </c>
      <c r="D13" s="12">
        <v>206383.48977475986</v>
      </c>
      <c r="E13" s="83">
        <v>1.6290509359113592</v>
      </c>
      <c r="F13" s="83">
        <v>1.7950986105531934</v>
      </c>
      <c r="G13" s="83">
        <v>1.9611462851950279</v>
      </c>
    </row>
    <row r="14" spans="1:7" x14ac:dyDescent="0.3">
      <c r="C14" s="76"/>
      <c r="D14" s="12">
        <v>189056.88197686241</v>
      </c>
      <c r="E14" s="83"/>
      <c r="F14" s="83"/>
      <c r="G14" s="83"/>
    </row>
    <row r="15" spans="1:7" ht="15" thickBot="1" x14ac:dyDescent="0.35">
      <c r="C15" s="76"/>
      <c r="D15" s="59">
        <v>171730.27417896496</v>
      </c>
      <c r="E15" s="88"/>
      <c r="F15" s="88"/>
      <c r="G15" s="88"/>
    </row>
    <row r="16" spans="1:7" ht="15.6" thickTop="1" thickBot="1" x14ac:dyDescent="0.35">
      <c r="A16">
        <f>(D15/D17)-1</f>
        <v>0.42567557968018388</v>
      </c>
      <c r="C16" s="81" t="s">
        <v>31</v>
      </c>
      <c r="D16" s="82"/>
      <c r="E16" s="61">
        <v>1.3543918006961746</v>
      </c>
      <c r="F16" s="61">
        <v>1.4924437204378687</v>
      </c>
      <c r="G16" s="62">
        <v>1.6304956401795627</v>
      </c>
    </row>
    <row r="17" spans="3:11" ht="15" thickTop="1" x14ac:dyDescent="0.3">
      <c r="C17" s="76" t="s">
        <v>15</v>
      </c>
      <c r="D17" s="60">
        <v>120455.36630254166</v>
      </c>
      <c r="E17" s="87">
        <v>0.95</v>
      </c>
      <c r="F17" s="87">
        <v>1.0468326326895931</v>
      </c>
      <c r="G17" s="87">
        <v>1.1436652653791863</v>
      </c>
    </row>
    <row r="18" spans="3:11" x14ac:dyDescent="0.3">
      <c r="C18" s="76"/>
      <c r="D18" s="13">
        <v>110256.56898504407</v>
      </c>
      <c r="E18" s="83"/>
      <c r="F18" s="83"/>
      <c r="G18" s="83"/>
    </row>
    <row r="19" spans="3:11" x14ac:dyDescent="0.3">
      <c r="C19" s="77"/>
      <c r="D19" s="13">
        <v>100057.77166754648</v>
      </c>
      <c r="E19" s="83"/>
      <c r="F19" s="83"/>
      <c r="G19" s="83"/>
    </row>
    <row r="23" spans="3:11" ht="15" thickBot="1" x14ac:dyDescent="0.35">
      <c r="I23" s="75" t="s">
        <v>32</v>
      </c>
      <c r="J23" s="75"/>
    </row>
    <row r="24" spans="3:11" ht="15" thickTop="1" x14ac:dyDescent="0.3">
      <c r="E24" s="57">
        <v>2017</v>
      </c>
      <c r="F24" s="57">
        <v>2018</v>
      </c>
      <c r="G24" s="57">
        <v>2019</v>
      </c>
      <c r="H24" s="58">
        <v>2020</v>
      </c>
      <c r="I24" s="47" t="s">
        <v>6</v>
      </c>
      <c r="J24" s="48" t="s">
        <v>7</v>
      </c>
      <c r="K24" s="64" t="s">
        <v>34</v>
      </c>
    </row>
    <row r="25" spans="3:11" x14ac:dyDescent="0.3">
      <c r="D25" s="42" t="s">
        <v>19</v>
      </c>
      <c r="E25" s="43">
        <f>markham!E5</f>
        <v>117638</v>
      </c>
      <c r="F25" s="43">
        <f>markham!F5</f>
        <v>148274</v>
      </c>
      <c r="G25" s="43">
        <f>markham!G5</f>
        <v>183955</v>
      </c>
      <c r="H25" s="44">
        <v>162600</v>
      </c>
      <c r="I25" s="45">
        <f>AVERAGE(E25:H25)</f>
        <v>153116.75</v>
      </c>
      <c r="J25" s="46">
        <f>MEDIAN(E25:H25)</f>
        <v>155437</v>
      </c>
      <c r="K25" s="65" t="s">
        <v>31</v>
      </c>
    </row>
    <row r="26" spans="3:11" x14ac:dyDescent="0.3">
      <c r="D26" s="8" t="s">
        <v>26</v>
      </c>
      <c r="E26" s="17">
        <f>E25*E17</f>
        <v>111756.09999999999</v>
      </c>
      <c r="F26" s="17">
        <f>F25*E16</f>
        <v>200821.0898564246</v>
      </c>
      <c r="G26" s="17">
        <f>G25*E13</f>
        <v>299672.0649155741</v>
      </c>
      <c r="H26" s="24">
        <f>H25*E16</f>
        <v>220224.10679319798</v>
      </c>
      <c r="I26" s="49">
        <f>I25*E16</f>
        <v>207380.07074924599</v>
      </c>
      <c r="J26" s="50">
        <f>J25*E16</f>
        <v>210522.59832481129</v>
      </c>
      <c r="K26" s="65">
        <v>1.35</v>
      </c>
    </row>
    <row r="27" spans="3:11" x14ac:dyDescent="0.3">
      <c r="D27" s="8" t="s">
        <v>27</v>
      </c>
      <c r="E27" s="17">
        <f>E25*F17</f>
        <v>123147.29724433836</v>
      </c>
      <c r="F27" s="17">
        <f>F25*F16</f>
        <v>221290.60020420453</v>
      </c>
      <c r="G27" s="17">
        <f>G25*F13</f>
        <v>330217.36490431271</v>
      </c>
      <c r="H27" s="24">
        <f>H25*F16</f>
        <v>242671.34894319743</v>
      </c>
      <c r="I27" s="49">
        <f>I25*F16</f>
        <v>228518.13203135502</v>
      </c>
      <c r="J27" s="50">
        <f>J25*F16</f>
        <v>231980.97457370098</v>
      </c>
      <c r="K27" s="65">
        <v>1.49</v>
      </c>
    </row>
    <row r="28" spans="3:11" ht="15" thickBot="1" x14ac:dyDescent="0.35">
      <c r="D28" s="8" t="s">
        <v>28</v>
      </c>
      <c r="E28" s="17">
        <f>E25*G17</f>
        <v>134538.49448867672</v>
      </c>
      <c r="F28" s="17">
        <f>F25*G16</f>
        <v>241760.11055198449</v>
      </c>
      <c r="G28" s="17">
        <f>G25*G13</f>
        <v>360762.66489305138</v>
      </c>
      <c r="H28" s="24">
        <f>H25*G16</f>
        <v>265118.59109319688</v>
      </c>
      <c r="I28" s="51">
        <f>I25*G16</f>
        <v>249656.19331346406</v>
      </c>
      <c r="J28" s="52">
        <f>J25*G16</f>
        <v>253439.3508225907</v>
      </c>
      <c r="K28" s="66">
        <v>1.63</v>
      </c>
    </row>
    <row r="29" spans="3:11" ht="15" thickTop="1" x14ac:dyDescent="0.3">
      <c r="D29" s="63" t="s">
        <v>20</v>
      </c>
    </row>
    <row r="31" spans="3:11" ht="15" thickBot="1" x14ac:dyDescent="0.35">
      <c r="H31" s="75" t="s">
        <v>33</v>
      </c>
      <c r="I31" s="75"/>
    </row>
    <row r="32" spans="3:11" ht="15" thickTop="1" x14ac:dyDescent="0.3">
      <c r="E32" s="57">
        <v>2018</v>
      </c>
      <c r="F32" s="57">
        <v>2019</v>
      </c>
      <c r="G32" s="58">
        <v>2020</v>
      </c>
      <c r="H32" s="47" t="s">
        <v>6</v>
      </c>
      <c r="I32" s="53" t="s">
        <v>7</v>
      </c>
    </row>
    <row r="33" spans="4:9" x14ac:dyDescent="0.3">
      <c r="D33" s="42" t="s">
        <v>19</v>
      </c>
      <c r="E33" s="43">
        <f t="shared" ref="E33:G36" si="0">F25</f>
        <v>148274</v>
      </c>
      <c r="F33" s="43">
        <f t="shared" si="0"/>
        <v>183955</v>
      </c>
      <c r="G33" s="44">
        <f t="shared" si="0"/>
        <v>162600</v>
      </c>
      <c r="H33" s="45">
        <f>AVERAGE(E33:G33)</f>
        <v>164943</v>
      </c>
      <c r="I33" s="54">
        <f>MEDIAN(E33:G33)</f>
        <v>162600</v>
      </c>
    </row>
    <row r="34" spans="4:9" x14ac:dyDescent="0.3">
      <c r="D34" s="8" t="s">
        <v>26</v>
      </c>
      <c r="E34" s="17">
        <f t="shared" si="0"/>
        <v>200821.0898564246</v>
      </c>
      <c r="F34" s="17">
        <f t="shared" si="0"/>
        <v>299672.0649155741</v>
      </c>
      <c r="G34" s="24">
        <f t="shared" si="0"/>
        <v>220224.10679319798</v>
      </c>
      <c r="H34" s="49">
        <f>H33*E16</f>
        <v>223397.44678222912</v>
      </c>
      <c r="I34" s="55">
        <f>I33*E16</f>
        <v>220224.10679319798</v>
      </c>
    </row>
    <row r="35" spans="4:9" x14ac:dyDescent="0.3">
      <c r="D35" s="8" t="s">
        <v>27</v>
      </c>
      <c r="E35" s="17">
        <f t="shared" si="0"/>
        <v>221290.60020420453</v>
      </c>
      <c r="F35" s="17">
        <f t="shared" si="0"/>
        <v>330217.36490431271</v>
      </c>
      <c r="G35" s="24">
        <f t="shared" si="0"/>
        <v>242671.34894319743</v>
      </c>
      <c r="H35" s="49">
        <f>H33*F16</f>
        <v>246168.14458018338</v>
      </c>
      <c r="I35" s="55">
        <f>I33*F16</f>
        <v>242671.34894319743</v>
      </c>
    </row>
    <row r="36" spans="4:9" ht="15" thickBot="1" x14ac:dyDescent="0.35">
      <c r="D36" s="8" t="s">
        <v>28</v>
      </c>
      <c r="E36" s="17">
        <f t="shared" si="0"/>
        <v>241760.11055198449</v>
      </c>
      <c r="F36" s="17">
        <f t="shared" si="0"/>
        <v>360762.66489305138</v>
      </c>
      <c r="G36" s="24">
        <f t="shared" si="0"/>
        <v>265118.59109319688</v>
      </c>
      <c r="H36" s="51">
        <f>H33*G16</f>
        <v>268938.84237813763</v>
      </c>
      <c r="I36" s="56">
        <f>I33*G16</f>
        <v>265118.59109319688</v>
      </c>
    </row>
    <row r="37" spans="4:9" ht="15" thickTop="1" x14ac:dyDescent="0.3">
      <c r="D37" s="63" t="s">
        <v>20</v>
      </c>
    </row>
    <row r="53" spans="22:25" ht="4.8" customHeight="1" thickBot="1" x14ac:dyDescent="0.35"/>
    <row r="54" spans="22:25" ht="29.4" thickTop="1" x14ac:dyDescent="0.3">
      <c r="V54" s="73" t="s">
        <v>21</v>
      </c>
      <c r="W54" s="70" t="s">
        <v>40</v>
      </c>
      <c r="X54" s="68" t="s">
        <v>41</v>
      </c>
      <c r="Y54" s="29" t="s">
        <v>42</v>
      </c>
    </row>
    <row r="55" spans="22:25" x14ac:dyDescent="0.3">
      <c r="V55" s="67" t="s">
        <v>35</v>
      </c>
      <c r="W55" s="71" t="e">
        <f>#REF!</f>
        <v>#REF!</v>
      </c>
      <c r="X55" s="69">
        <f>-173895</f>
        <v>-173895</v>
      </c>
      <c r="Y55" s="30" t="e">
        <f>W55+X55</f>
        <v>#REF!</v>
      </c>
    </row>
    <row r="56" spans="22:25" x14ac:dyDescent="0.3">
      <c r="V56" s="67" t="s">
        <v>36</v>
      </c>
      <c r="W56" s="71">
        <f>markham!I12</f>
        <v>40795.888835874444</v>
      </c>
      <c r="X56" s="69">
        <f t="shared" ref="X56:X59" si="1">-173895</f>
        <v>-173895</v>
      </c>
      <c r="Y56" s="30">
        <f t="shared" ref="Y56:Y59" si="2">W56+X56</f>
        <v>-133099.11116412556</v>
      </c>
    </row>
    <row r="57" spans="22:25" x14ac:dyDescent="0.3">
      <c r="V57" s="67" t="s">
        <v>37</v>
      </c>
      <c r="W57" s="71">
        <f>H34</f>
        <v>223397.44678222912</v>
      </c>
      <c r="X57" s="69">
        <f t="shared" si="1"/>
        <v>-173895</v>
      </c>
      <c r="Y57" s="30">
        <f t="shared" si="2"/>
        <v>49502.446782229119</v>
      </c>
    </row>
    <row r="58" spans="22:25" x14ac:dyDescent="0.3">
      <c r="V58" s="67" t="s">
        <v>38</v>
      </c>
      <c r="W58" s="71">
        <f t="shared" ref="W58:W59" si="3">H35</f>
        <v>246168.14458018338</v>
      </c>
      <c r="X58" s="69">
        <f t="shared" si="1"/>
        <v>-173895</v>
      </c>
      <c r="Y58" s="30">
        <f t="shared" si="2"/>
        <v>72273.144580183376</v>
      </c>
    </row>
    <row r="59" spans="22:25" ht="15" thickBot="1" x14ac:dyDescent="0.35">
      <c r="V59" s="67" t="s">
        <v>39</v>
      </c>
      <c r="W59" s="72">
        <f t="shared" si="3"/>
        <v>268938.84237813763</v>
      </c>
      <c r="X59" s="69">
        <f t="shared" si="1"/>
        <v>-173895</v>
      </c>
      <c r="Y59" s="32">
        <f t="shared" si="2"/>
        <v>95043.842378137633</v>
      </c>
    </row>
    <row r="60" spans="22:25" ht="15" thickTop="1" x14ac:dyDescent="0.3"/>
  </sheetData>
  <sortState xmlns:xlrd2="http://schemas.microsoft.com/office/spreadsheetml/2017/richdata2" ref="D5:D16">
    <sortCondition descending="1" ref="D5:D16"/>
  </sortState>
  <mergeCells count="22">
    <mergeCell ref="E3:G3"/>
    <mergeCell ref="C4:C7"/>
    <mergeCell ref="C8:D8"/>
    <mergeCell ref="G5:G7"/>
    <mergeCell ref="F5:F7"/>
    <mergeCell ref="E5:E7"/>
    <mergeCell ref="I23:J23"/>
    <mergeCell ref="H31:I31"/>
    <mergeCell ref="C17:C19"/>
    <mergeCell ref="C13:C15"/>
    <mergeCell ref="C9:C11"/>
    <mergeCell ref="C12:D12"/>
    <mergeCell ref="C16:D16"/>
    <mergeCell ref="G9:G11"/>
    <mergeCell ref="F9:F11"/>
    <mergeCell ref="E9:E11"/>
    <mergeCell ref="G17:G19"/>
    <mergeCell ref="F17:F19"/>
    <mergeCell ref="E17:E19"/>
    <mergeCell ref="G13:G15"/>
    <mergeCell ref="F13:F15"/>
    <mergeCell ref="E13:E15"/>
  </mergeCells>
  <pageMargins left="0.511811024" right="0.511811024" top="0.78740157499999996" bottom="0.78740157499999996" header="0.31496062000000002" footer="0.31496062000000002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FCD Selic Média</vt:lpstr>
      <vt:lpstr>markham</vt:lpstr>
      <vt:lpstr>múltiplo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Cesar Grafietti</cp:lastModifiedBy>
  <dcterms:created xsi:type="dcterms:W3CDTF">2022-02-03T09:42:08Z</dcterms:created>
  <dcterms:modified xsi:type="dcterms:W3CDTF">2025-03-31T16:38:02Z</dcterms:modified>
</cp:coreProperties>
</file>